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9955" yWindow="2055" windowWidth="28620" windowHeight="15525" activeTab="1"/>
  </bookViews>
  <sheets>
    <sheet name="Summary" sheetId="11" r:id="rId1"/>
    <sheet name="BOLDetails1.xls" sheetId="1" r:id="rId2"/>
    <sheet name="Sheet1" sheetId="2" r:id="rId3"/>
    <sheet name="Sheet2" sheetId="3" r:id="rId4"/>
    <sheet name="Sheet3" sheetId="4" r:id="rId5"/>
    <sheet name="Sheet4" sheetId="5" r:id="rId6"/>
    <sheet name="Sheet5" sheetId="6" r:id="rId7"/>
    <sheet name="Sheet6" sheetId="7" r:id="rId8"/>
    <sheet name="Sheet7" sheetId="8" r:id="rId9"/>
    <sheet name="Sheet8" sheetId="9" r:id="rId10"/>
    <sheet name="Sheet9" sheetId="10" r:id="rId11"/>
  </sheets>
  <calcPr calcId="191029"/>
</workbook>
</file>

<file path=xl/calcChain.xml><?xml version="1.0" encoding="utf-8"?>
<calcChain xmlns="http://schemas.openxmlformats.org/spreadsheetml/2006/main">
  <c r="E12" i="11" l="1"/>
  <c r="D12" i="11"/>
  <c r="C12" i="11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L733" i="10"/>
  <c r="L732" i="10"/>
  <c r="L731" i="10"/>
  <c r="L730" i="10"/>
  <c r="L729" i="10"/>
  <c r="L728" i="10"/>
  <c r="L727" i="10"/>
  <c r="L726" i="10"/>
  <c r="L725" i="10"/>
  <c r="L724" i="10"/>
  <c r="L723" i="10"/>
  <c r="L722" i="10"/>
  <c r="L721" i="10"/>
  <c r="L720" i="10"/>
  <c r="L719" i="10"/>
  <c r="L718" i="10"/>
  <c r="L717" i="10"/>
  <c r="L716" i="10"/>
  <c r="L715" i="10"/>
  <c r="L714" i="10"/>
  <c r="L713" i="10"/>
  <c r="L712" i="10"/>
  <c r="L711" i="10"/>
  <c r="L710" i="10"/>
  <c r="L709" i="10"/>
  <c r="L708" i="10"/>
  <c r="L707" i="10"/>
  <c r="L706" i="10"/>
  <c r="L705" i="10"/>
  <c r="L704" i="10"/>
  <c r="L703" i="10"/>
  <c r="L702" i="10"/>
  <c r="L701" i="10"/>
  <c r="L700" i="10"/>
  <c r="L699" i="10"/>
  <c r="L698" i="10"/>
  <c r="L697" i="10"/>
  <c r="L696" i="10"/>
  <c r="L695" i="10"/>
  <c r="L694" i="10"/>
  <c r="L693" i="10"/>
  <c r="L692" i="10"/>
  <c r="L691" i="10"/>
  <c r="L690" i="10"/>
  <c r="L689" i="10"/>
  <c r="L688" i="10"/>
  <c r="L687" i="10"/>
  <c r="L686" i="10"/>
  <c r="L685" i="10"/>
  <c r="L684" i="10"/>
  <c r="L683" i="10"/>
  <c r="L682" i="10"/>
  <c r="L681" i="10"/>
  <c r="L680" i="10"/>
  <c r="L679" i="10"/>
  <c r="L678" i="10"/>
  <c r="L677" i="10"/>
  <c r="L676" i="10"/>
  <c r="L675" i="10"/>
  <c r="L674" i="10"/>
  <c r="L673" i="10"/>
  <c r="L672" i="10"/>
  <c r="L671" i="10"/>
  <c r="L670" i="10"/>
  <c r="L669" i="10"/>
  <c r="L668" i="10"/>
  <c r="L667" i="10"/>
  <c r="L666" i="10"/>
  <c r="L665" i="10"/>
  <c r="L664" i="10"/>
  <c r="L663" i="10"/>
  <c r="L662" i="10"/>
  <c r="L661" i="10"/>
  <c r="L660" i="10"/>
  <c r="L659" i="10"/>
  <c r="L658" i="10"/>
  <c r="L657" i="10"/>
  <c r="L656" i="10"/>
  <c r="L655" i="10"/>
  <c r="L654" i="10"/>
  <c r="L653" i="10"/>
  <c r="L652" i="10"/>
  <c r="L651" i="10"/>
  <c r="L650" i="10"/>
  <c r="L649" i="10"/>
  <c r="L648" i="10"/>
  <c r="L647" i="10"/>
  <c r="L646" i="10"/>
  <c r="L645" i="10"/>
  <c r="L644" i="10"/>
  <c r="L643" i="10"/>
  <c r="L642" i="10"/>
  <c r="L641" i="10"/>
  <c r="L640" i="10"/>
  <c r="L639" i="10"/>
  <c r="L638" i="10"/>
  <c r="L637" i="10"/>
  <c r="L636" i="10"/>
  <c r="L635" i="10"/>
  <c r="L634" i="10"/>
  <c r="L633" i="10"/>
  <c r="L632" i="10"/>
  <c r="L631" i="10"/>
  <c r="L630" i="10"/>
  <c r="L629" i="10"/>
  <c r="L628" i="10"/>
  <c r="L627" i="10"/>
  <c r="L626" i="10"/>
  <c r="L625" i="10"/>
  <c r="L624" i="10"/>
  <c r="L623" i="10"/>
  <c r="L622" i="10"/>
  <c r="L621" i="10"/>
  <c r="L620" i="10"/>
  <c r="L619" i="10"/>
  <c r="L618" i="10"/>
  <c r="L617" i="10"/>
  <c r="L616" i="10"/>
  <c r="L615" i="10"/>
  <c r="L614" i="10"/>
  <c r="L613" i="10"/>
  <c r="L612" i="10"/>
  <c r="L611" i="10"/>
  <c r="L610" i="10"/>
  <c r="L609" i="10"/>
  <c r="L608" i="10"/>
  <c r="L607" i="10"/>
  <c r="L606" i="10"/>
  <c r="L605" i="10"/>
  <c r="L604" i="10"/>
  <c r="L603" i="10"/>
  <c r="L602" i="10"/>
  <c r="L601" i="10"/>
  <c r="L600" i="10"/>
  <c r="L599" i="10"/>
  <c r="L598" i="10"/>
  <c r="L597" i="10"/>
  <c r="L596" i="10"/>
  <c r="L595" i="10"/>
  <c r="L594" i="10"/>
  <c r="L593" i="10"/>
  <c r="L592" i="10"/>
  <c r="L591" i="10"/>
  <c r="L590" i="10"/>
  <c r="L589" i="10"/>
  <c r="L588" i="10"/>
  <c r="L587" i="10"/>
  <c r="L586" i="10"/>
  <c r="L585" i="10"/>
  <c r="L584" i="10"/>
  <c r="L583" i="10"/>
  <c r="L582" i="10"/>
  <c r="L581" i="10"/>
  <c r="L580" i="10"/>
  <c r="L579" i="10"/>
  <c r="L578" i="10"/>
  <c r="L577" i="10"/>
  <c r="L576" i="10"/>
  <c r="L575" i="10"/>
  <c r="L574" i="10"/>
  <c r="L573" i="10"/>
  <c r="L572" i="10"/>
  <c r="L571" i="10"/>
  <c r="L570" i="10"/>
  <c r="L569" i="10"/>
  <c r="L568" i="10"/>
  <c r="L567" i="10"/>
  <c r="L566" i="10"/>
  <c r="L565" i="10"/>
  <c r="L564" i="10"/>
  <c r="L563" i="10"/>
  <c r="L562" i="10"/>
  <c r="L561" i="10"/>
  <c r="L560" i="10"/>
  <c r="L559" i="10"/>
  <c r="L558" i="10"/>
  <c r="L557" i="10"/>
  <c r="L556" i="10"/>
  <c r="L555" i="10"/>
  <c r="L554" i="10"/>
  <c r="L553" i="10"/>
  <c r="L552" i="10"/>
  <c r="L551" i="10"/>
  <c r="L550" i="10"/>
  <c r="L549" i="10"/>
  <c r="L548" i="10"/>
  <c r="L547" i="10"/>
  <c r="L546" i="10"/>
  <c r="L545" i="10"/>
  <c r="L544" i="10"/>
  <c r="L543" i="10"/>
  <c r="L542" i="10"/>
  <c r="L541" i="10"/>
  <c r="L540" i="10"/>
  <c r="L539" i="10"/>
  <c r="L538" i="10"/>
  <c r="L537" i="10"/>
  <c r="L536" i="10"/>
  <c r="L535" i="10"/>
  <c r="L534" i="10"/>
  <c r="L533" i="10"/>
  <c r="L532" i="10"/>
  <c r="L531" i="10"/>
  <c r="L530" i="10"/>
  <c r="L529" i="10"/>
  <c r="L528" i="10"/>
  <c r="L527" i="10"/>
  <c r="L526" i="10"/>
  <c r="L525" i="10"/>
  <c r="L524" i="10"/>
  <c r="L523" i="10"/>
  <c r="L522" i="10"/>
  <c r="L521" i="10"/>
  <c r="L520" i="10"/>
  <c r="L519" i="10"/>
  <c r="L518" i="10"/>
  <c r="L517" i="10"/>
  <c r="L516" i="10"/>
  <c r="L515" i="10"/>
  <c r="L514" i="10"/>
  <c r="L513" i="10"/>
  <c r="L512" i="10"/>
  <c r="L511" i="10"/>
  <c r="L510" i="10"/>
  <c r="L509" i="10"/>
  <c r="L508" i="10"/>
  <c r="L507" i="10"/>
  <c r="L506" i="10"/>
  <c r="L505" i="10"/>
  <c r="L504" i="10"/>
  <c r="L503" i="10"/>
  <c r="L502" i="10"/>
  <c r="L501" i="10"/>
  <c r="L500" i="10"/>
  <c r="L499" i="10"/>
  <c r="L498" i="10"/>
  <c r="L497" i="10"/>
  <c r="L496" i="10"/>
  <c r="L495" i="10"/>
  <c r="L494" i="10"/>
  <c r="L493" i="10"/>
  <c r="L492" i="10"/>
  <c r="L491" i="10"/>
  <c r="L490" i="10"/>
  <c r="L489" i="10"/>
  <c r="L488" i="10"/>
  <c r="L487" i="10"/>
  <c r="L486" i="10"/>
  <c r="L485" i="10"/>
  <c r="L484" i="10"/>
  <c r="L483" i="10"/>
  <c r="L482" i="10"/>
  <c r="L481" i="10"/>
  <c r="L480" i="10"/>
  <c r="L479" i="10"/>
  <c r="L478" i="10"/>
  <c r="L477" i="10"/>
  <c r="L476" i="10"/>
  <c r="L475" i="10"/>
  <c r="L474" i="10"/>
  <c r="L473" i="10"/>
  <c r="L472" i="10"/>
  <c r="L471" i="10"/>
  <c r="L470" i="10"/>
  <c r="L469" i="10"/>
  <c r="L468" i="10"/>
  <c r="L467" i="10"/>
  <c r="L466" i="10"/>
  <c r="L465" i="10"/>
  <c r="L464" i="10"/>
  <c r="L463" i="10"/>
  <c r="L462" i="10"/>
  <c r="L461" i="10"/>
  <c r="L460" i="10"/>
  <c r="L459" i="10"/>
  <c r="L458" i="10"/>
  <c r="L457" i="10"/>
  <c r="L456" i="10"/>
  <c r="L455" i="10"/>
  <c r="L454" i="10"/>
  <c r="L453" i="10"/>
  <c r="L452" i="10"/>
  <c r="L451" i="10"/>
  <c r="L450" i="10"/>
  <c r="L449" i="10"/>
  <c r="L448" i="10"/>
  <c r="L447" i="10"/>
  <c r="L446" i="10"/>
  <c r="L445" i="10"/>
  <c r="L444" i="10"/>
  <c r="L443" i="10"/>
  <c r="L442" i="10"/>
  <c r="L441" i="10"/>
  <c r="L440" i="10"/>
  <c r="L439" i="10"/>
  <c r="L438" i="10"/>
  <c r="L437" i="10"/>
  <c r="L436" i="10"/>
  <c r="L435" i="10"/>
  <c r="L434" i="10"/>
  <c r="L433" i="10"/>
  <c r="L432" i="10"/>
  <c r="L431" i="10"/>
  <c r="L430" i="10"/>
  <c r="L429" i="10"/>
  <c r="L428" i="10"/>
  <c r="L427" i="10"/>
  <c r="L426" i="10"/>
  <c r="L425" i="10"/>
  <c r="L424" i="10"/>
  <c r="L423" i="10"/>
  <c r="L422" i="10"/>
  <c r="L421" i="10"/>
  <c r="L420" i="10"/>
  <c r="L419" i="10"/>
  <c r="L418" i="10"/>
  <c r="L417" i="10"/>
  <c r="L416" i="10"/>
  <c r="L415" i="10"/>
  <c r="L414" i="10"/>
  <c r="L413" i="10"/>
  <c r="L412" i="10"/>
  <c r="L411" i="10"/>
  <c r="L410" i="10"/>
  <c r="L409" i="10"/>
  <c r="L408" i="10"/>
  <c r="L407" i="10"/>
  <c r="L406" i="10"/>
  <c r="L405" i="10"/>
  <c r="L404" i="10"/>
  <c r="L403" i="10"/>
  <c r="L402" i="10"/>
  <c r="L401" i="10"/>
  <c r="L400" i="10"/>
  <c r="L399" i="10"/>
  <c r="L398" i="10"/>
  <c r="L397" i="10"/>
  <c r="L396" i="10"/>
  <c r="L395" i="10"/>
  <c r="L394" i="10"/>
  <c r="L393" i="10"/>
  <c r="L392" i="10"/>
  <c r="L391" i="10"/>
  <c r="L390" i="10"/>
  <c r="L389" i="10"/>
  <c r="L388" i="10"/>
  <c r="L387" i="10"/>
  <c r="L386" i="10"/>
  <c r="L385" i="10"/>
  <c r="L384" i="10"/>
  <c r="L383" i="10"/>
  <c r="L382" i="10"/>
  <c r="L381" i="10"/>
  <c r="L380" i="10"/>
  <c r="L379" i="10"/>
  <c r="L378" i="10"/>
  <c r="L377" i="10"/>
  <c r="L376" i="10"/>
  <c r="L375" i="10"/>
  <c r="L374" i="10"/>
  <c r="L373" i="10"/>
  <c r="L372" i="10"/>
  <c r="L371" i="10"/>
  <c r="L370" i="10"/>
  <c r="L369" i="10"/>
  <c r="L368" i="10"/>
  <c r="L367" i="10"/>
  <c r="L366" i="10"/>
  <c r="L365" i="10"/>
  <c r="L364" i="10"/>
  <c r="L363" i="10"/>
  <c r="L362" i="10"/>
  <c r="L361" i="10"/>
  <c r="L360" i="10"/>
  <c r="L359" i="10"/>
  <c r="L358" i="10"/>
  <c r="L357" i="10"/>
  <c r="L356" i="10"/>
  <c r="L355" i="10"/>
  <c r="L354" i="10"/>
  <c r="L353" i="10"/>
  <c r="L352" i="10"/>
  <c r="L351" i="10"/>
  <c r="L350" i="10"/>
  <c r="L349" i="10"/>
  <c r="L348" i="10"/>
  <c r="L347" i="10"/>
  <c r="L346" i="10"/>
  <c r="L345" i="10"/>
  <c r="L344" i="10"/>
  <c r="L343" i="10"/>
  <c r="L342" i="10"/>
  <c r="L341" i="10"/>
  <c r="L340" i="10"/>
  <c r="L339" i="10"/>
  <c r="L338" i="10"/>
  <c r="L337" i="10"/>
  <c r="L336" i="10"/>
  <c r="L335" i="10"/>
  <c r="L334" i="10"/>
  <c r="L333" i="10"/>
  <c r="L332" i="10"/>
  <c r="L331" i="10"/>
  <c r="L330" i="10"/>
  <c r="L329" i="10"/>
  <c r="L328" i="10"/>
  <c r="L327" i="10"/>
  <c r="L326" i="10"/>
  <c r="L325" i="10"/>
  <c r="L324" i="10"/>
  <c r="L323" i="10"/>
  <c r="L322" i="10"/>
  <c r="L321" i="10"/>
  <c r="L320" i="10"/>
  <c r="L319" i="10"/>
  <c r="L318" i="10"/>
  <c r="L317" i="10"/>
  <c r="L316" i="10"/>
  <c r="L315" i="10"/>
  <c r="L314" i="10"/>
  <c r="L313" i="10"/>
  <c r="L312" i="10"/>
  <c r="L311" i="10"/>
  <c r="L310" i="10"/>
  <c r="L309" i="10"/>
  <c r="L308" i="10"/>
  <c r="L307" i="10"/>
  <c r="L306" i="10"/>
  <c r="L305" i="10"/>
  <c r="L304" i="10"/>
  <c r="L303" i="10"/>
  <c r="L302" i="10"/>
  <c r="L301" i="10"/>
  <c r="L300" i="10"/>
  <c r="L299" i="10"/>
  <c r="L298" i="10"/>
  <c r="L297" i="10"/>
  <c r="L296" i="10"/>
  <c r="L295" i="10"/>
  <c r="L294" i="10"/>
  <c r="L293" i="10"/>
  <c r="L292" i="10"/>
  <c r="L291" i="10"/>
  <c r="L29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340" i="8"/>
  <c r="L339" i="8"/>
  <c r="L338" i="8"/>
  <c r="L337" i="8"/>
  <c r="L336" i="8"/>
  <c r="L335" i="8"/>
  <c r="L334" i="8"/>
  <c r="L333" i="8"/>
  <c r="L332" i="8"/>
  <c r="L331" i="8"/>
  <c r="L330" i="8"/>
  <c r="L329" i="8"/>
  <c r="L328" i="8"/>
  <c r="L327" i="8"/>
  <c r="L326" i="8"/>
  <c r="L325" i="8"/>
  <c r="L324" i="8"/>
  <c r="L323" i="8"/>
  <c r="L322" i="8"/>
  <c r="L321" i="8"/>
  <c r="L320" i="8"/>
  <c r="L319" i="8"/>
  <c r="L318" i="8"/>
  <c r="L317" i="8"/>
  <c r="L316" i="8"/>
  <c r="L315" i="8"/>
  <c r="L314" i="8"/>
  <c r="L313" i="8"/>
  <c r="L312" i="8"/>
  <c r="L311" i="8"/>
  <c r="L310" i="8"/>
  <c r="L309" i="8"/>
  <c r="L308" i="8"/>
  <c r="L307" i="8"/>
  <c r="L306" i="8"/>
  <c r="L305" i="8"/>
  <c r="L304" i="8"/>
  <c r="L303" i="8"/>
  <c r="L302" i="8"/>
  <c r="L301" i="8"/>
  <c r="L300" i="8"/>
  <c r="L299" i="8"/>
  <c r="L298" i="8"/>
  <c r="L297" i="8"/>
  <c r="L296" i="8"/>
  <c r="L295" i="8"/>
  <c r="L294" i="8"/>
  <c r="L293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416" i="7"/>
  <c r="L415" i="7"/>
  <c r="L414" i="7"/>
  <c r="L413" i="7"/>
  <c r="L412" i="7"/>
  <c r="L411" i="7"/>
  <c r="L410" i="7"/>
  <c r="L409" i="7"/>
  <c r="L408" i="7"/>
  <c r="L407" i="7"/>
  <c r="L406" i="7"/>
  <c r="L405" i="7"/>
  <c r="L404" i="7"/>
  <c r="L403" i="7"/>
  <c r="L402" i="7"/>
  <c r="L401" i="7"/>
  <c r="L400" i="7"/>
  <c r="L399" i="7"/>
  <c r="L398" i="7"/>
  <c r="L397" i="7"/>
  <c r="L396" i="7"/>
  <c r="L395" i="7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474" i="5"/>
  <c r="L473" i="5"/>
  <c r="L472" i="5"/>
  <c r="L471" i="5"/>
  <c r="L470" i="5"/>
  <c r="L469" i="5"/>
  <c r="L468" i="5"/>
  <c r="L467" i="5"/>
  <c r="L466" i="5"/>
  <c r="L465" i="5"/>
  <c r="L464" i="5"/>
  <c r="L463" i="5"/>
  <c r="L462" i="5"/>
  <c r="L461" i="5"/>
  <c r="L460" i="5"/>
  <c r="L459" i="5"/>
  <c r="L458" i="5"/>
  <c r="L457" i="5"/>
  <c r="L456" i="5"/>
  <c r="L455" i="5"/>
  <c r="L454" i="5"/>
  <c r="L453" i="5"/>
  <c r="L452" i="5"/>
  <c r="L451" i="5"/>
  <c r="L450" i="5"/>
  <c r="L449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4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2" i="5"/>
  <c r="L381" i="5"/>
  <c r="L380" i="5"/>
  <c r="L379" i="5"/>
  <c r="L378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<sst xmlns="http://schemas.openxmlformats.org/spreadsheetml/2006/main" count="35889" uniqueCount="7214">
  <si>
    <t>756500137905</t>
  </si>
  <si>
    <t>LARGE PAISLEY PANEL</t>
  </si>
  <si>
    <t>888987481391</t>
  </si>
  <si>
    <t>888987417680</t>
  </si>
  <si>
    <t>BLUEFIELD GRID</t>
  </si>
  <si>
    <t>2PC9-2009</t>
  </si>
  <si>
    <t>888987286200</t>
  </si>
  <si>
    <t>888987334611</t>
  </si>
  <si>
    <t>GLENWILTON MINI</t>
  </si>
  <si>
    <t>2PC8-7023</t>
  </si>
  <si>
    <t>888987390655</t>
  </si>
  <si>
    <t>CELINE FLORAL</t>
  </si>
  <si>
    <t>2GC9-0091</t>
  </si>
  <si>
    <t>ORIGINAL PENGUIN/BESPOKE FASHION</t>
  </si>
  <si>
    <t>COTTON/RAYON</t>
  </si>
  <si>
    <t>888987390945</t>
  </si>
  <si>
    <t>LAZELLE FLORAL</t>
  </si>
  <si>
    <t>2GC9-1015</t>
  </si>
  <si>
    <t>888987020927</t>
  </si>
  <si>
    <t>VILLAGE SOLID</t>
  </si>
  <si>
    <t>2GC6-1027</t>
  </si>
  <si>
    <t>888987343613</t>
  </si>
  <si>
    <t>DORIAN CHECK</t>
  </si>
  <si>
    <t>2GC8-4039</t>
  </si>
  <si>
    <t>888987284886</t>
  </si>
  <si>
    <t>RYBAK SOLID</t>
  </si>
  <si>
    <t>2GC8-3037</t>
  </si>
  <si>
    <t>888987281113</t>
  </si>
  <si>
    <t>888987390914</t>
  </si>
  <si>
    <t>VALERIAN DOT</t>
  </si>
  <si>
    <t>2GC9-1058</t>
  </si>
  <si>
    <t>888987390938</t>
  </si>
  <si>
    <t>HARTLEY GRID</t>
  </si>
  <si>
    <t>2GC9-9021</t>
  </si>
  <si>
    <t>888987342074</t>
  </si>
  <si>
    <t>MILLER DOT TIE</t>
  </si>
  <si>
    <t>2GC8-6072</t>
  </si>
  <si>
    <t>888987343439</t>
  </si>
  <si>
    <t>RAINEY PLAID</t>
  </si>
  <si>
    <t>2GC8-6009</t>
  </si>
  <si>
    <t>888987452223</t>
  </si>
  <si>
    <t>KIMBALL MICRO</t>
  </si>
  <si>
    <t>888987452230</t>
  </si>
  <si>
    <t>732998459330</t>
  </si>
  <si>
    <t>732997200643</t>
  </si>
  <si>
    <t>732997200490</t>
  </si>
  <si>
    <t>732997200933</t>
  </si>
  <si>
    <t>636189741955</t>
  </si>
  <si>
    <t>732996675084</t>
  </si>
  <si>
    <t>636189742594</t>
  </si>
  <si>
    <t>732998122302</t>
  </si>
  <si>
    <t>726895172751</t>
  </si>
  <si>
    <t>726895172942</t>
  </si>
  <si>
    <t>726895465105</t>
  </si>
  <si>
    <t>732998112563</t>
  </si>
  <si>
    <t>732996677736</t>
  </si>
  <si>
    <t>SPA FRAGMENT PRINT</t>
  </si>
  <si>
    <t>100038627MN</t>
  </si>
  <si>
    <t>640013534712</t>
  </si>
  <si>
    <t>640013508300</t>
  </si>
  <si>
    <t>DAVIES KNIT SHORT</t>
  </si>
  <si>
    <t>DY1181553</t>
  </si>
  <si>
    <t>193671007420</t>
  </si>
  <si>
    <t>ASTER CHECK BT</t>
  </si>
  <si>
    <t>RS00220000</t>
  </si>
  <si>
    <t>732997091982</t>
  </si>
  <si>
    <t>LS MONTEBELLO PLAID</t>
  </si>
  <si>
    <t>100061535MN</t>
  </si>
  <si>
    <t>732997319352</t>
  </si>
  <si>
    <t>OLLIE ZIP FLAT FRONT</t>
  </si>
  <si>
    <t>732996589954</t>
  </si>
  <si>
    <t>S/S PIMA/POLY OPD</t>
  </si>
  <si>
    <t>71K00CPOLO</t>
  </si>
  <si>
    <t>888987451561</t>
  </si>
  <si>
    <t>ELMDALE GRID</t>
  </si>
  <si>
    <t>2PC9-3091</t>
  </si>
  <si>
    <t>888987451578</t>
  </si>
  <si>
    <t>888987334628</t>
  </si>
  <si>
    <t>726895478631</t>
  </si>
  <si>
    <t>732995388107</t>
  </si>
  <si>
    <t>732998024965</t>
  </si>
  <si>
    <t>732998025016</t>
  </si>
  <si>
    <t>732998025009</t>
  </si>
  <si>
    <t>732997796832</t>
  </si>
  <si>
    <t>732998018858</t>
  </si>
  <si>
    <t>843113138570</t>
  </si>
  <si>
    <t>BIG PALLADIUM</t>
  </si>
  <si>
    <t>732998025450</t>
  </si>
  <si>
    <t>LS HYPER PLAID</t>
  </si>
  <si>
    <t>100082755MN</t>
  </si>
  <si>
    <t>732998025467</t>
  </si>
  <si>
    <t>732998025474</t>
  </si>
  <si>
    <t>726895594232</t>
  </si>
  <si>
    <t>732996941493</t>
  </si>
  <si>
    <t>732998025429</t>
  </si>
  <si>
    <t>LS HYPER MICRO CHECK</t>
  </si>
  <si>
    <t>100082754MN</t>
  </si>
  <si>
    <t>732998022886</t>
  </si>
  <si>
    <t>732998022916</t>
  </si>
  <si>
    <t>732997189702</t>
  </si>
  <si>
    <t>LS 1/4 ZIP MOCK NECK</t>
  </si>
  <si>
    <t>100064292MN</t>
  </si>
  <si>
    <t>SHELL: COTTON/POLYESTER; TRIM: NYLON</t>
  </si>
  <si>
    <t>682875923846</t>
  </si>
  <si>
    <t>DERBY HORSE SHOE PT</t>
  </si>
  <si>
    <t>8PB81656</t>
  </si>
  <si>
    <t>732998007944</t>
  </si>
  <si>
    <t>LATENITO MED PRINT</t>
  </si>
  <si>
    <t>100076631MN</t>
  </si>
  <si>
    <t>732994800303</t>
  </si>
  <si>
    <t>726895469509</t>
  </si>
  <si>
    <t>848257085285</t>
  </si>
  <si>
    <t>B&amp;T 3PK BXR BF RD BL BASIC</t>
  </si>
  <si>
    <t>BCBRBLU536</t>
  </si>
  <si>
    <t>732998044437</t>
  </si>
  <si>
    <t>732998044383</t>
  </si>
  <si>
    <t>726895602203</t>
  </si>
  <si>
    <t>726895602180</t>
  </si>
  <si>
    <t>726895602111</t>
  </si>
  <si>
    <t>191459060759</t>
  </si>
  <si>
    <t>FAUX SUEDE BTH EARWARMER</t>
  </si>
  <si>
    <t>POLYESTER/SPANDEX; INNER EAR, FAUX FUR: POLYESTER</t>
  </si>
  <si>
    <t>190697089676</t>
  </si>
  <si>
    <t>BLUE SOLID SLIM</t>
  </si>
  <si>
    <t>MNY001</t>
  </si>
  <si>
    <t>MARC NEW YORK/ITOCHU PROMINENT USA</t>
  </si>
  <si>
    <t>732996615738</t>
  </si>
  <si>
    <t>METAL LEOPARD TEE</t>
  </si>
  <si>
    <t>732995623376</t>
  </si>
  <si>
    <t>732995623321</t>
  </si>
  <si>
    <t>732994170123</t>
  </si>
  <si>
    <t>732994170130</t>
  </si>
  <si>
    <t>726895601442</t>
  </si>
  <si>
    <t>726895601398</t>
  </si>
  <si>
    <t>726895601374</t>
  </si>
  <si>
    <t>726895601404</t>
  </si>
  <si>
    <t>726895601367</t>
  </si>
  <si>
    <t>726895602517</t>
  </si>
  <si>
    <t>726895602449</t>
  </si>
  <si>
    <t>732994046817</t>
  </si>
  <si>
    <t>732994046800</t>
  </si>
  <si>
    <t>732994046794</t>
  </si>
  <si>
    <t>726895051469</t>
  </si>
  <si>
    <t>726895051445</t>
  </si>
  <si>
    <t>732997451243</t>
  </si>
  <si>
    <t>732997451403</t>
  </si>
  <si>
    <t>732997451304</t>
  </si>
  <si>
    <t>732997851043</t>
  </si>
  <si>
    <t>732997851067</t>
  </si>
  <si>
    <t>636189179673</t>
  </si>
  <si>
    <t>636189168677</t>
  </si>
  <si>
    <t>636189582893</t>
  </si>
  <si>
    <t>UMAX HRZNTL ST DB BASIC</t>
  </si>
  <si>
    <t>706257473658</t>
  </si>
  <si>
    <t>MAX WHT SQ TX SLD BASIC</t>
  </si>
  <si>
    <t>BS17SLWHTE</t>
  </si>
  <si>
    <t>682875246563</t>
  </si>
  <si>
    <t>RUBY PLAID</t>
  </si>
  <si>
    <t>M6983530</t>
  </si>
  <si>
    <t>POLYESTER/SILK/VISCOSE</t>
  </si>
  <si>
    <t>756500191488</t>
  </si>
  <si>
    <t>MOSAIC GEO</t>
  </si>
  <si>
    <t>M6994324</t>
  </si>
  <si>
    <t>756500050938</t>
  </si>
  <si>
    <t>IRIDESCENT GEO</t>
  </si>
  <si>
    <t>M6993307</t>
  </si>
  <si>
    <t>756500191266</t>
  </si>
  <si>
    <t>OPEN SQUARE GEO</t>
  </si>
  <si>
    <t>M6994322</t>
  </si>
  <si>
    <t>756500189751</t>
  </si>
  <si>
    <t>756500194137</t>
  </si>
  <si>
    <t>HUDSON PLAID</t>
  </si>
  <si>
    <t>M6994546</t>
  </si>
  <si>
    <t>756500191457</t>
  </si>
  <si>
    <t>756500194151</t>
  </si>
  <si>
    <t>PLAZA PLAID</t>
  </si>
  <si>
    <t>M6994539</t>
  </si>
  <si>
    <t>756500194380</t>
  </si>
  <si>
    <t>FINE METAL GRID</t>
  </si>
  <si>
    <t>M6994548</t>
  </si>
  <si>
    <t>POLYESTER/SILK/METALLIC THREAD</t>
  </si>
  <si>
    <t>732996551418</t>
  </si>
  <si>
    <t>732996551340</t>
  </si>
  <si>
    <t>732994863995</t>
  </si>
  <si>
    <t>32MM STCH TEXT BUCK BASIC</t>
  </si>
  <si>
    <t>100052161MN</t>
  </si>
  <si>
    <t>POLYURETHANE/EVA/STRETCH WEBBING</t>
  </si>
  <si>
    <t>732995062441</t>
  </si>
  <si>
    <t>732995062458</t>
  </si>
  <si>
    <t>732995062434</t>
  </si>
  <si>
    <t>682875797003</t>
  </si>
  <si>
    <t>TRE PLAID</t>
  </si>
  <si>
    <t>M6984533</t>
  </si>
  <si>
    <t>756500192119</t>
  </si>
  <si>
    <t>756500194328</t>
  </si>
  <si>
    <t>756500194373</t>
  </si>
  <si>
    <t>636189909706</t>
  </si>
  <si>
    <t>732997167755</t>
  </si>
  <si>
    <t>732997167700</t>
  </si>
  <si>
    <t>732997167717</t>
  </si>
  <si>
    <t>738994825544</t>
  </si>
  <si>
    <t>STRETCH JERSEY POUCH BOX</t>
  </si>
  <si>
    <t>L999HRLHA</t>
  </si>
  <si>
    <t>732998341529</t>
  </si>
  <si>
    <t>732998341451</t>
  </si>
  <si>
    <t>732998341543</t>
  </si>
  <si>
    <t>732998341444</t>
  </si>
  <si>
    <t>732998341574</t>
  </si>
  <si>
    <t>732998341499</t>
  </si>
  <si>
    <t>732998341567</t>
  </si>
  <si>
    <t>732998341482</t>
  </si>
  <si>
    <t>732998341505</t>
  </si>
  <si>
    <t>732998459156</t>
  </si>
  <si>
    <t>716106867385</t>
  </si>
  <si>
    <t>ECLIPSE REVERSIBLE BEANI</t>
  </si>
  <si>
    <t>732995611816</t>
  </si>
  <si>
    <t>SPR OUTLINE TATTERSL</t>
  </si>
  <si>
    <t>732998106593</t>
  </si>
  <si>
    <t>DIAG CHEST SPTY POLO</t>
  </si>
  <si>
    <t>100082751MN</t>
  </si>
  <si>
    <t>732995504927</t>
  </si>
  <si>
    <t>THEME MOCK</t>
  </si>
  <si>
    <t>732997461358</t>
  </si>
  <si>
    <t>732997461334</t>
  </si>
  <si>
    <t>732997461365</t>
  </si>
  <si>
    <t>26414009279</t>
  </si>
  <si>
    <t>ALTURAS SOLID BT/PS</t>
  </si>
  <si>
    <t>RS00510000</t>
  </si>
  <si>
    <t>732998307730</t>
  </si>
  <si>
    <t>726895161076</t>
  </si>
  <si>
    <t>706256385747</t>
  </si>
  <si>
    <t>706256385716</t>
  </si>
  <si>
    <t>706256385754</t>
  </si>
  <si>
    <t>732997451045</t>
  </si>
  <si>
    <t>653411722759</t>
  </si>
  <si>
    <t>RASP SLIM SOLID</t>
  </si>
  <si>
    <t>653411887519</t>
  </si>
  <si>
    <t>732994994804</t>
  </si>
  <si>
    <t>FEEDER STRIPE POLO</t>
  </si>
  <si>
    <t>100045642R</t>
  </si>
  <si>
    <t>732997815465</t>
  </si>
  <si>
    <t>732995844283</t>
  </si>
  <si>
    <t>POMONA DOT</t>
  </si>
  <si>
    <t>732996796130</t>
  </si>
  <si>
    <t>732996796598</t>
  </si>
  <si>
    <t>732997169674</t>
  </si>
  <si>
    <t>15322RG436</t>
  </si>
  <si>
    <t>732997169391</t>
  </si>
  <si>
    <t>15322CH436</t>
  </si>
  <si>
    <t>766380836980</t>
  </si>
  <si>
    <t>706256385457</t>
  </si>
  <si>
    <t>732997169629</t>
  </si>
  <si>
    <t>608381186803</t>
  </si>
  <si>
    <t>15322BM436</t>
  </si>
  <si>
    <t>766380836652</t>
  </si>
  <si>
    <t>732997169506</t>
  </si>
  <si>
    <t>732997482360</t>
  </si>
  <si>
    <t>732997166550</t>
  </si>
  <si>
    <t>STEP TEE</t>
  </si>
  <si>
    <t>732997166567</t>
  </si>
  <si>
    <t>26217143378</t>
  </si>
  <si>
    <t>38MM BEVEL EDGE STIT BASIC</t>
  </si>
  <si>
    <t>11CN02X012</t>
  </si>
  <si>
    <t>732996115467</t>
  </si>
  <si>
    <t>USED TEE</t>
  </si>
  <si>
    <t>756500054615</t>
  </si>
  <si>
    <t>HENDRIX GEO</t>
  </si>
  <si>
    <t>1V993311</t>
  </si>
  <si>
    <t>732996017846</t>
  </si>
  <si>
    <t>STRV DRV THRV LS TEE</t>
  </si>
  <si>
    <t>191603753827</t>
  </si>
  <si>
    <t>MARVEL GROUP</t>
  </si>
  <si>
    <t>2MVL2720</t>
  </si>
  <si>
    <t>732994477192</t>
  </si>
  <si>
    <t>LS OLDWICK TARTAN</t>
  </si>
  <si>
    <t>100040501MN</t>
  </si>
  <si>
    <t>732994476515</t>
  </si>
  <si>
    <t>LS GLENDORA PLAID</t>
  </si>
  <si>
    <t>100024488MN</t>
  </si>
  <si>
    <t>732997521854</t>
  </si>
  <si>
    <t>732997837399</t>
  </si>
  <si>
    <t>EXPLODED CAMO LS TEE</t>
  </si>
  <si>
    <t>732997404379</t>
  </si>
  <si>
    <t>732997837382</t>
  </si>
  <si>
    <t>732997404416</t>
  </si>
  <si>
    <t>732997330593</t>
  </si>
  <si>
    <t>732997330869</t>
  </si>
  <si>
    <t>732997331262</t>
  </si>
  <si>
    <t>732997331255</t>
  </si>
  <si>
    <t>732997330630</t>
  </si>
  <si>
    <t>732997330807</t>
  </si>
  <si>
    <t>732997751824</t>
  </si>
  <si>
    <t>732998026945</t>
  </si>
  <si>
    <t>WORLDWIDE TEE</t>
  </si>
  <si>
    <t>732997104965</t>
  </si>
  <si>
    <t>732995661422</t>
  </si>
  <si>
    <t>BAYMAR FLORAL</t>
  </si>
  <si>
    <t>732996015941</t>
  </si>
  <si>
    <t>SS SUPIMA BLEND CREW</t>
  </si>
  <si>
    <t>SUPIMA® COTTON/POLYESTER</t>
  </si>
  <si>
    <t>732998397731</t>
  </si>
  <si>
    <t>BOBBY CNTRST NK STCH BASIC</t>
  </si>
  <si>
    <t>732997127544</t>
  </si>
  <si>
    <t>732997127520</t>
  </si>
  <si>
    <t>731351801489</t>
  </si>
  <si>
    <t>732998397816</t>
  </si>
  <si>
    <t>BROOK CNTRST NK STCH BASIC</t>
  </si>
  <si>
    <t>732998397946</t>
  </si>
  <si>
    <t>EDDIE SPLIT NECK TEE BASIC</t>
  </si>
  <si>
    <t>732998397991</t>
  </si>
  <si>
    <t>732998397977</t>
  </si>
  <si>
    <t>732998399087</t>
  </si>
  <si>
    <t>EDEN SPLIT NECK TEE BASIC</t>
  </si>
  <si>
    <t>732998399100</t>
  </si>
  <si>
    <t>732998399001</t>
  </si>
  <si>
    <t>732998398998</t>
  </si>
  <si>
    <t>732998398981</t>
  </si>
  <si>
    <t>732996559278</t>
  </si>
  <si>
    <t>TEXTURE GEO TEE</t>
  </si>
  <si>
    <t>100060995MN</t>
  </si>
  <si>
    <t>732997010792</t>
  </si>
  <si>
    <t>732996559605</t>
  </si>
  <si>
    <t>732996376646</t>
  </si>
  <si>
    <t>TRUE FEEDER STRIPE T</t>
  </si>
  <si>
    <t>100061012MN</t>
  </si>
  <si>
    <t>732998397281</t>
  </si>
  <si>
    <t>ANDY PCD PATCH PKT BASIC</t>
  </si>
  <si>
    <t>732998397274</t>
  </si>
  <si>
    <t>732997045107</t>
  </si>
  <si>
    <t>BLOCKED STRIPE TEE</t>
  </si>
  <si>
    <t>100064471MN</t>
  </si>
  <si>
    <t>732998397861</t>
  </si>
  <si>
    <t>CODY VNECK TEE BASIC</t>
  </si>
  <si>
    <t>732996051178</t>
  </si>
  <si>
    <t>CHEST FLORAL TEE</t>
  </si>
  <si>
    <t>100057710MN</t>
  </si>
  <si>
    <t>732997127773</t>
  </si>
  <si>
    <t>732996399782</t>
  </si>
  <si>
    <t>BLOCKED DIP DYE TEE</t>
  </si>
  <si>
    <t>100060989MN</t>
  </si>
  <si>
    <t>732996400235</t>
  </si>
  <si>
    <t>BLOCKD FLORAL STRP T</t>
  </si>
  <si>
    <t>100061000MN</t>
  </si>
  <si>
    <t>732996559063</t>
  </si>
  <si>
    <t>BLOCKD TXTR STRIPE T</t>
  </si>
  <si>
    <t>100060991MN</t>
  </si>
  <si>
    <t>732997041604</t>
  </si>
  <si>
    <t>SPLATTR CHST STRPE T</t>
  </si>
  <si>
    <t>100064472MN</t>
  </si>
  <si>
    <t>740670700113</t>
  </si>
  <si>
    <t>SS COLORBLOCK TEE</t>
  </si>
  <si>
    <t>OPKF9065OP</t>
  </si>
  <si>
    <t>192166065075</t>
  </si>
  <si>
    <t>732998397908</t>
  </si>
  <si>
    <t>DAKOTA CNTST CHN STC BASIC</t>
  </si>
  <si>
    <t>732998397892</t>
  </si>
  <si>
    <t>732996399942</t>
  </si>
  <si>
    <t>MLTI TXTR NEP STRP T</t>
  </si>
  <si>
    <t>100060993MN</t>
  </si>
  <si>
    <t>732997432624</t>
  </si>
  <si>
    <t>RANCHER STRIPE TEE</t>
  </si>
  <si>
    <t>100064485MN</t>
  </si>
  <si>
    <t>732996559827</t>
  </si>
  <si>
    <t>UNEVEN TEXTURE TEE</t>
  </si>
  <si>
    <t>100060996MN</t>
  </si>
  <si>
    <t>732997432631</t>
  </si>
  <si>
    <t>732997041536</t>
  </si>
  <si>
    <t>SPACED OUT CAMO TEE</t>
  </si>
  <si>
    <t>100064467MN</t>
  </si>
  <si>
    <t>732997041796</t>
  </si>
  <si>
    <t>BLANKET GEO STRIPE T</t>
  </si>
  <si>
    <t>100064474MN</t>
  </si>
  <si>
    <t>732995794205</t>
  </si>
  <si>
    <t>SS HEATHER MCOM TEE</t>
  </si>
  <si>
    <t>732996050492</t>
  </si>
  <si>
    <t>MULTICOLOR FLORAL T</t>
  </si>
  <si>
    <t>100057704MN</t>
  </si>
  <si>
    <t>732996051260</t>
  </si>
  <si>
    <t>STATEMENT STRIPE TEE</t>
  </si>
  <si>
    <t>100057714MN</t>
  </si>
  <si>
    <t>732997086773</t>
  </si>
  <si>
    <t>682875853525</t>
  </si>
  <si>
    <t>STRIPE BORDER PSQ</t>
  </si>
  <si>
    <t>8H691201</t>
  </si>
  <si>
    <t>732996848990</t>
  </si>
  <si>
    <t>732996812250</t>
  </si>
  <si>
    <t>732996812670</t>
  </si>
  <si>
    <t>726895583168</t>
  </si>
  <si>
    <t>GEO SNOWFLAKE</t>
  </si>
  <si>
    <t>100028323MN</t>
  </si>
  <si>
    <t>732994945424</t>
  </si>
  <si>
    <t>732994835039</t>
  </si>
  <si>
    <t>732994945080</t>
  </si>
  <si>
    <t>TOSSED GUITARS</t>
  </si>
  <si>
    <t>100051306MN</t>
  </si>
  <si>
    <t>COTTON/POLYESTER/NYLON/SPANDEX (EXCLUSIVE OF ELASTIC)</t>
  </si>
  <si>
    <t>732994835008</t>
  </si>
  <si>
    <t>726895583373</t>
  </si>
  <si>
    <t>SMALL WINDOWPANE</t>
  </si>
  <si>
    <t>100028349MN</t>
  </si>
  <si>
    <t>732994943796</t>
  </si>
  <si>
    <t>ABSTRACT TRIANGLE</t>
  </si>
  <si>
    <t>100012700MN</t>
  </si>
  <si>
    <t>81091584617</t>
  </si>
  <si>
    <t>HALF BLOCKED DOT BASIC</t>
  </si>
  <si>
    <t>885400043006</t>
  </si>
  <si>
    <t>CANDY SHOP MESH POLO</t>
  </si>
  <si>
    <t>732997105894</t>
  </si>
  <si>
    <t>732997105856</t>
  </si>
  <si>
    <t>682875025205</t>
  </si>
  <si>
    <t>LARGE BOTANICAL</t>
  </si>
  <si>
    <t>682875029173</t>
  </si>
  <si>
    <t>SWIMMING DOG</t>
  </si>
  <si>
    <t>29407677318</t>
  </si>
  <si>
    <t>SILK COTTON SOLID</t>
  </si>
  <si>
    <t>K7981101</t>
  </si>
  <si>
    <t>682875025762</t>
  </si>
  <si>
    <t>DENIM STRIPE</t>
  </si>
  <si>
    <t>732997836651</t>
  </si>
  <si>
    <t>732997836613</t>
  </si>
  <si>
    <t>732997836620</t>
  </si>
  <si>
    <t>682875733018</t>
  </si>
  <si>
    <t>GINGHAM PT BOW</t>
  </si>
  <si>
    <t>8PB81501</t>
  </si>
  <si>
    <t>682875732981</t>
  </si>
  <si>
    <t>732997693094</t>
  </si>
  <si>
    <t>SANTA BULLDOG TEE</t>
  </si>
  <si>
    <t>100080451MN</t>
  </si>
  <si>
    <t>732997693261</t>
  </si>
  <si>
    <t>BULLDOG TUXEDO TEE</t>
  </si>
  <si>
    <t>100080453MN</t>
  </si>
  <si>
    <t>LOT #</t>
  </si>
  <si>
    <t>CATEGORY</t>
  </si>
  <si>
    <t># OF PALLETS</t>
  </si>
  <si>
    <t>ORIGINAL RETAIL</t>
  </si>
  <si>
    <t># OF UNITS</t>
  </si>
  <si>
    <t>MENS APPAREL &amp; ACCESSORIES</t>
  </si>
  <si>
    <t>726895469615</t>
  </si>
  <si>
    <t>732997796856</t>
  </si>
  <si>
    <t>732997796849</t>
  </si>
  <si>
    <t>726895593617</t>
  </si>
  <si>
    <t>732998547204</t>
  </si>
  <si>
    <t>LS SIMON PLAID</t>
  </si>
  <si>
    <t>100088679MN</t>
  </si>
  <si>
    <t>732998547211</t>
  </si>
  <si>
    <t>726895464191</t>
  </si>
  <si>
    <t>726895465112</t>
  </si>
  <si>
    <t>732997622124</t>
  </si>
  <si>
    <t>732997622193</t>
  </si>
  <si>
    <t>LUCIANO MEDALLION</t>
  </si>
  <si>
    <t>732995545012</t>
  </si>
  <si>
    <t>LYLE PAISLEY</t>
  </si>
  <si>
    <t>SILK/COTTON</t>
  </si>
  <si>
    <t>732996789699</t>
  </si>
  <si>
    <t>BARI NEAT</t>
  </si>
  <si>
    <t>732997622186</t>
  </si>
  <si>
    <t>732996789729</t>
  </si>
  <si>
    <t>TERAMO STRIPE</t>
  </si>
  <si>
    <t>732996789750</t>
  </si>
  <si>
    <t>LUCCA MEDALLION</t>
  </si>
  <si>
    <t>732996788982</t>
  </si>
  <si>
    <t>732996788999</t>
  </si>
  <si>
    <t>732997622209</t>
  </si>
  <si>
    <t>SERGIO MEDALLION</t>
  </si>
  <si>
    <t>732997622179</t>
  </si>
  <si>
    <t>26217569642</t>
  </si>
  <si>
    <t>STRAW FEDORA WITH CAMO B</t>
  </si>
  <si>
    <t>44LV020040</t>
  </si>
  <si>
    <t>PAPER STRAW</t>
  </si>
  <si>
    <t>732996676203</t>
  </si>
  <si>
    <t>689439520411</t>
  </si>
  <si>
    <t>689439520442</t>
  </si>
  <si>
    <t>732994734189</t>
  </si>
  <si>
    <t>747476891267</t>
  </si>
  <si>
    <t>TRUNK 24 LOGO</t>
  </si>
  <si>
    <t>747476897702</t>
  </si>
  <si>
    <t>747476891311</t>
  </si>
  <si>
    <t>747476891298</t>
  </si>
  <si>
    <t>726895602166</t>
  </si>
  <si>
    <t>726895144697</t>
  </si>
  <si>
    <t>LS MODERN STRIPE</t>
  </si>
  <si>
    <t>689439402694</t>
  </si>
  <si>
    <t>SPR FOULARD PRINT</t>
  </si>
  <si>
    <t>100020545MN</t>
  </si>
  <si>
    <t>689439402670</t>
  </si>
  <si>
    <t>889498156112</t>
  </si>
  <si>
    <t>FEATHER BOW TIE</t>
  </si>
  <si>
    <t>TLO9STB313-667</t>
  </si>
  <si>
    <t>732994046732</t>
  </si>
  <si>
    <t>ISLAND STRIPE TEE BASIC</t>
  </si>
  <si>
    <t>732994046763</t>
  </si>
  <si>
    <t>732994046749</t>
  </si>
  <si>
    <t>732996465425</t>
  </si>
  <si>
    <t>SS BLOCK SWEATR CREW</t>
  </si>
  <si>
    <t>100061327MN</t>
  </si>
  <si>
    <t>732997451397</t>
  </si>
  <si>
    <t>636189183144</t>
  </si>
  <si>
    <t>706257392874</t>
  </si>
  <si>
    <t>26217569628</t>
  </si>
  <si>
    <t>ENZYME WASH BASEBALL WIT</t>
  </si>
  <si>
    <t>44LV010114</t>
  </si>
  <si>
    <t>26217505909</t>
  </si>
  <si>
    <t>26217569550</t>
  </si>
  <si>
    <t>TIE DYE BASEBALL</t>
  </si>
  <si>
    <t>44LV010113</t>
  </si>
  <si>
    <t>636189911556</t>
  </si>
  <si>
    <t>716106898754</t>
  </si>
  <si>
    <t>716106899348</t>
  </si>
  <si>
    <t>ADI MIDWAY GRAPHIC BEANI</t>
  </si>
  <si>
    <t>190181859648</t>
  </si>
  <si>
    <t>OPTI VINTAGE EMB TEE</t>
  </si>
  <si>
    <t>M10000OOD1</t>
  </si>
  <si>
    <t>732997175064</t>
  </si>
  <si>
    <t>732997175118</t>
  </si>
  <si>
    <t>679616003424</t>
  </si>
  <si>
    <t>X TRUCKER</t>
  </si>
  <si>
    <t>44H4A0010-300</t>
  </si>
  <si>
    <t>H4X MONIKER/MONIKER INC</t>
  </si>
  <si>
    <t>191459096437</t>
  </si>
  <si>
    <t>POWER STRETCH GLOVE</t>
  </si>
  <si>
    <t>HAWKE &amp; CO/FOWNES BROTHERS</t>
  </si>
  <si>
    <t>192861563487</t>
  </si>
  <si>
    <t>192861563746</t>
  </si>
  <si>
    <t>22653539072</t>
  </si>
  <si>
    <t>MUG/SLIPPER SET BULLDOG</t>
  </si>
  <si>
    <t>806409429691</t>
  </si>
  <si>
    <t>CHAMPION STRIPED CUFF BE</t>
  </si>
  <si>
    <t>CH2074</t>
  </si>
  <si>
    <t>CHAMPION/UNITED LEGWEAR COMPANY LLC</t>
  </si>
  <si>
    <t>26217671956</t>
  </si>
  <si>
    <t>VENETIAN SLIPPER</t>
  </si>
  <si>
    <t>71WV670014</t>
  </si>
  <si>
    <t>732997719015</t>
  </si>
  <si>
    <t>732997813362</t>
  </si>
  <si>
    <t>BLACK WATCH</t>
  </si>
  <si>
    <t>732996801056</t>
  </si>
  <si>
    <t>DALMATION STRIPE</t>
  </si>
  <si>
    <t>732996801285</t>
  </si>
  <si>
    <t>732995983012</t>
  </si>
  <si>
    <t>REYNOLDS GEO</t>
  </si>
  <si>
    <t>732996792385</t>
  </si>
  <si>
    <t>ROY GEO</t>
  </si>
  <si>
    <t>732995843002</t>
  </si>
  <si>
    <t>SHUBERT GEO</t>
  </si>
  <si>
    <t>732996791913</t>
  </si>
  <si>
    <t>732996792354</t>
  </si>
  <si>
    <t>732995166323</t>
  </si>
  <si>
    <t>COSTELLO MINI BASIC</t>
  </si>
  <si>
    <t>732996792255</t>
  </si>
  <si>
    <t>OPTIMUS SOLID</t>
  </si>
  <si>
    <t>732996791951</t>
  </si>
  <si>
    <t>732996801025</t>
  </si>
  <si>
    <t>CANTON GRID</t>
  </si>
  <si>
    <t>732997814925</t>
  </si>
  <si>
    <t>732996801049</t>
  </si>
  <si>
    <t>732997814369</t>
  </si>
  <si>
    <t>CAMINO NEAT</t>
  </si>
  <si>
    <t>732995982794</t>
  </si>
  <si>
    <t>190344552485</t>
  </si>
  <si>
    <t>CHAR GROUP MICKEY</t>
  </si>
  <si>
    <t>2DNY2551</t>
  </si>
  <si>
    <t>828009957</t>
  </si>
  <si>
    <t>MICRO NEAT</t>
  </si>
  <si>
    <t>19MNE11951-M51300</t>
  </si>
  <si>
    <t>58 R/M37.5</t>
  </si>
  <si>
    <t>KNOTS FOR HOPE/MMG CORPORATION</t>
  </si>
  <si>
    <t>POLYESTER MICRO FIBER</t>
  </si>
  <si>
    <t>26217672144</t>
  </si>
  <si>
    <t>CLOG SLIPPER</t>
  </si>
  <si>
    <t>71WV670016</t>
  </si>
  <si>
    <t>843113117209</t>
  </si>
  <si>
    <t>ICE CUBE CAR</t>
  </si>
  <si>
    <t>731351240929</t>
  </si>
  <si>
    <t>BLACK LEATHER SLIPPER</t>
  </si>
  <si>
    <t>SLMGT-B9000-MA</t>
  </si>
  <si>
    <t>UPPER: SUEDE, LINING: VELOUR</t>
  </si>
  <si>
    <t>731351240882</t>
  </si>
  <si>
    <t>883096877059</t>
  </si>
  <si>
    <t>RECYCLED CAMO 2 PK</t>
  </si>
  <si>
    <t>3652F</t>
  </si>
  <si>
    <t>636202333624</t>
  </si>
  <si>
    <t>732997086681</t>
  </si>
  <si>
    <t>732997086698</t>
  </si>
  <si>
    <t>98593542069</t>
  </si>
  <si>
    <t>MICROFIBER PLAID NAVY</t>
  </si>
  <si>
    <t>839713PEP</t>
  </si>
  <si>
    <t>98593542045</t>
  </si>
  <si>
    <t>BAMBOO ARGYLE NAVY</t>
  </si>
  <si>
    <t>859228PEP</t>
  </si>
  <si>
    <t>848257063054</t>
  </si>
  <si>
    <t>SUNS SS CREW FASH HTHRS BASIC</t>
  </si>
  <si>
    <t>CHTRREDS16</t>
  </si>
  <si>
    <t>847405011213</t>
  </si>
  <si>
    <t>HYATTMCY</t>
  </si>
  <si>
    <t>GOLDTOE/RFA HOLDING GROUP (469/319)</t>
  </si>
  <si>
    <t>UPPER, SOLE: POLYESTER</t>
  </si>
  <si>
    <t>732996522487</t>
  </si>
  <si>
    <t>POPPY FLORAL</t>
  </si>
  <si>
    <t>100071011MN</t>
  </si>
  <si>
    <t>81091584075</t>
  </si>
  <si>
    <t>756500220973</t>
  </si>
  <si>
    <t>CREME PLAID 2</t>
  </si>
  <si>
    <t>K7981110</t>
  </si>
  <si>
    <t>682875980108</t>
  </si>
  <si>
    <t>COMBO TEXTURE STRIPE</t>
  </si>
  <si>
    <t>8X991402</t>
  </si>
  <si>
    <t>756500110236</t>
  </si>
  <si>
    <t>HEATHERED MICRO TEXT</t>
  </si>
  <si>
    <t>K7993627</t>
  </si>
  <si>
    <t>732997836637</t>
  </si>
  <si>
    <t>SPS TRIANGLE PRISM</t>
  </si>
  <si>
    <t>100078871MN</t>
  </si>
  <si>
    <t>888987472863</t>
  </si>
  <si>
    <t>NEWPORT STRIPE TIE</t>
  </si>
  <si>
    <t>3NC0-8301</t>
  </si>
  <si>
    <t>888987472801</t>
  </si>
  <si>
    <t>DOVER MINI TIE</t>
  </si>
  <si>
    <t>3NC0-3361</t>
  </si>
  <si>
    <t>888987472290</t>
  </si>
  <si>
    <t>ADRIFT SOLID TIE</t>
  </si>
  <si>
    <t>3NC0-1302</t>
  </si>
  <si>
    <t>888987472702</t>
  </si>
  <si>
    <t>JOHN MINI TIE</t>
  </si>
  <si>
    <t>3NC0-7304</t>
  </si>
  <si>
    <t>888987472429</t>
  </si>
  <si>
    <t>HUMA STRIPE TIE</t>
  </si>
  <si>
    <t>3NC0-3329</t>
  </si>
  <si>
    <t>888987472726</t>
  </si>
  <si>
    <t>888987472689</t>
  </si>
  <si>
    <t>888987472795</t>
  </si>
  <si>
    <t>888987207175</t>
  </si>
  <si>
    <t>ASSORTED FLORAL TIE</t>
  </si>
  <si>
    <t>3NC0-FLR9</t>
  </si>
  <si>
    <t>888987472399</t>
  </si>
  <si>
    <t>VILSANDI SQUARE GRID TIE</t>
  </si>
  <si>
    <t>3NC0-3321</t>
  </si>
  <si>
    <t>888987472337</t>
  </si>
  <si>
    <t>888987472719</t>
  </si>
  <si>
    <t>888987207168</t>
  </si>
  <si>
    <t>ASSORTED DOT TIE</t>
  </si>
  <si>
    <t>3NC0-DOT9</t>
  </si>
  <si>
    <t>888987475413</t>
  </si>
  <si>
    <t>AST NAUTICA TIES HOL</t>
  </si>
  <si>
    <t>3NC7-3997</t>
  </si>
  <si>
    <t>888987472870</t>
  </si>
  <si>
    <t>888987472412</t>
  </si>
  <si>
    <t>888987472856</t>
  </si>
  <si>
    <t>NANTUCKET STRIPE TIE</t>
  </si>
  <si>
    <t>3NC0-8300</t>
  </si>
  <si>
    <t>888987472344</t>
  </si>
  <si>
    <t>888987472696</t>
  </si>
  <si>
    <t>749862461726</t>
  </si>
  <si>
    <t>COTTON-LS SHAWL CRD-LONG</t>
  </si>
  <si>
    <t>883498729802</t>
  </si>
  <si>
    <t>NAVY/GREY PLAID</t>
  </si>
  <si>
    <t>MBYR17CXX098</t>
  </si>
  <si>
    <t>885400091465</t>
  </si>
  <si>
    <t>193327262661</t>
  </si>
  <si>
    <t>SKINNY W/ BLOCKING BLK</t>
  </si>
  <si>
    <t>M94AN3R3FY0</t>
  </si>
  <si>
    <t>887096487218</t>
  </si>
  <si>
    <t>BROWN PLAID WINDOW</t>
  </si>
  <si>
    <t>VENZ1TIW0137</t>
  </si>
  <si>
    <t>8763248813</t>
  </si>
  <si>
    <t>DAVID FZ MOCK</t>
  </si>
  <si>
    <t>78E5766</t>
  </si>
  <si>
    <t>3XLRGTL/LG</t>
  </si>
  <si>
    <t>8763248950</t>
  </si>
  <si>
    <t>8763247823</t>
  </si>
  <si>
    <t>LARRY FZ MOCK</t>
  </si>
  <si>
    <t>78E5762</t>
  </si>
  <si>
    <t>2XLRGTL/LG</t>
  </si>
  <si>
    <t>883498695473</t>
  </si>
  <si>
    <t>STRIPED SEQUINS</t>
  </si>
  <si>
    <t>VEPS1TZY0025</t>
  </si>
  <si>
    <t>SHELL: POLYESTER; LINING: POLYESTER</t>
  </si>
  <si>
    <t>883498754156</t>
  </si>
  <si>
    <t>F19 CHAR PLAID</t>
  </si>
  <si>
    <t>CASS2MBV0467</t>
  </si>
  <si>
    <t>JACKET AND PANTS SHELL: POLYESTER/VISCOSE/SPANDEX; JACKET LINING: POLYESTER</t>
  </si>
  <si>
    <t>883498743839</t>
  </si>
  <si>
    <t>GREEN PLAID</t>
  </si>
  <si>
    <t>LETO12TW0024</t>
  </si>
  <si>
    <t>SHELL: POLYESTER; LINING: POLYESTER/VISCOSE</t>
  </si>
  <si>
    <t>883498857710</t>
  </si>
  <si>
    <t>883498066730</t>
  </si>
  <si>
    <t>PLAIN BLACK SLIM SB</t>
  </si>
  <si>
    <t>TLVA2VMX0047</t>
  </si>
  <si>
    <t>50 R/M37.5</t>
  </si>
  <si>
    <t>VAN HEUSEN/PEERLESS CLOTHING INTL</t>
  </si>
  <si>
    <t>JACKET AND PANTS SHELL: POLYESTER/RAYON/ELASTANE; JACKET LINING: POLYESTER</t>
  </si>
  <si>
    <t>663309678297</t>
  </si>
  <si>
    <t>HK191501</t>
  </si>
  <si>
    <t>193239352863</t>
  </si>
  <si>
    <t>LTD 511 REINFORCED F</t>
  </si>
  <si>
    <t>8055187640787</t>
  </si>
  <si>
    <t>767890527511</t>
  </si>
  <si>
    <t>MOTORCYCLE ASYMMETRI</t>
  </si>
  <si>
    <t>SJ1954-J9</t>
  </si>
  <si>
    <t>SEAN JOHN/S ROTHSCHILD &amp; CO</t>
  </si>
  <si>
    <t>SHELL: POLYESTER; COATING: POLYESTER; BACKING: POLYESTER FAUX SHEARLING</t>
  </si>
  <si>
    <t>732997488454</t>
  </si>
  <si>
    <t>OIL SLICK BLAZER</t>
  </si>
  <si>
    <t>754117396494</t>
  </si>
  <si>
    <t>DAAR</t>
  </si>
  <si>
    <t>741065232653</t>
  </si>
  <si>
    <t>8763248042</t>
  </si>
  <si>
    <t>78E5764</t>
  </si>
  <si>
    <t>712168285891</t>
  </si>
  <si>
    <t>BASIC MESH</t>
  </si>
  <si>
    <t>52177875820</t>
  </si>
  <si>
    <t>514 VINTAGE TINT</t>
  </si>
  <si>
    <t>883498588959</t>
  </si>
  <si>
    <t>883498840552</t>
  </si>
  <si>
    <t>PANT LT BLUE PLAID</t>
  </si>
  <si>
    <t>JEEGPJ6WX002</t>
  </si>
  <si>
    <t>8763103570</t>
  </si>
  <si>
    <t>SKINNY ANDY</t>
  </si>
  <si>
    <t>78E2861</t>
  </si>
  <si>
    <t>COTTON/RAYON/ELASTANE</t>
  </si>
  <si>
    <t>8763084022</t>
  </si>
  <si>
    <t>SLIM TAPERED RICHARD W/</t>
  </si>
  <si>
    <t>78E1793</t>
  </si>
  <si>
    <t>193851252954</t>
  </si>
  <si>
    <t>FIBAND FLEECE</t>
  </si>
  <si>
    <t>BM21591</t>
  </si>
  <si>
    <t>192536774927</t>
  </si>
  <si>
    <t>192379568370</t>
  </si>
  <si>
    <t>791272559272</t>
  </si>
  <si>
    <t>EZRA TECH HOODIE</t>
  </si>
  <si>
    <t>LM935211</t>
  </si>
  <si>
    <t>887035618239</t>
  </si>
  <si>
    <t>192379654042</t>
  </si>
  <si>
    <t>34X29</t>
  </si>
  <si>
    <t>193238309875</t>
  </si>
  <si>
    <t>889319234456</t>
  </si>
  <si>
    <t>511 TROUSER NIGHT WATCH</t>
  </si>
  <si>
    <t>193238319485</t>
  </si>
  <si>
    <t>192379656091</t>
  </si>
  <si>
    <t>511 COFFEE FLANNEL</t>
  </si>
  <si>
    <t>8763298177</t>
  </si>
  <si>
    <t>39304498411</t>
  </si>
  <si>
    <t>511 MOLESKIN BLACK</t>
  </si>
  <si>
    <t>732998452959</t>
  </si>
  <si>
    <t>SPOTLIGHT TRACK JKT</t>
  </si>
  <si>
    <t>192810738348</t>
  </si>
  <si>
    <t>192811597630</t>
  </si>
  <si>
    <t>192810738379</t>
  </si>
  <si>
    <t>732997255285</t>
  </si>
  <si>
    <t>LINEN HYBRID SPTCT</t>
  </si>
  <si>
    <t>LINEN/POLYESTER/RAYON/SPANDEX; LINING: POLYESTER</t>
  </si>
  <si>
    <t>193238018913</t>
  </si>
  <si>
    <t>SUPREME FLEX JOGGER</t>
  </si>
  <si>
    <t>COTTON/SPANDEX/POLYESTER</t>
  </si>
  <si>
    <t>193238872478</t>
  </si>
  <si>
    <t>732996825427</t>
  </si>
  <si>
    <t>BRONX SWACKET</t>
  </si>
  <si>
    <t>791272566713</t>
  </si>
  <si>
    <t>BERSON PANT</t>
  </si>
  <si>
    <t>LM933528</t>
  </si>
  <si>
    <t>732997846100</t>
  </si>
  <si>
    <t>BT DISCO JACKET BASIC</t>
  </si>
  <si>
    <t>100075462BT</t>
  </si>
  <si>
    <t>POLYESTER/NYLON/RAYON/METALLIC THREAD</t>
  </si>
  <si>
    <t>741065206104</t>
  </si>
  <si>
    <t>192531749777</t>
  </si>
  <si>
    <t>11333730038</t>
  </si>
  <si>
    <t>192616725498</t>
  </si>
  <si>
    <t>GRES E 3S TT TRIC CB</t>
  </si>
  <si>
    <t>FI8177</t>
  </si>
  <si>
    <t>732998368731</t>
  </si>
  <si>
    <t>MODERN BOMBER</t>
  </si>
  <si>
    <t>SHELL: NYLON/POLYESTER; LINING: POLYESTER</t>
  </si>
  <si>
    <t>732998368700</t>
  </si>
  <si>
    <t>11531578043</t>
  </si>
  <si>
    <t>732998010722</t>
  </si>
  <si>
    <t>FAUX LTHR BLOCK JKT</t>
  </si>
  <si>
    <t>100064370MN</t>
  </si>
  <si>
    <t>FAUX-LEATHER SHELL: VISCOSE</t>
  </si>
  <si>
    <t>732998010708</t>
  </si>
  <si>
    <t>663309561797</t>
  </si>
  <si>
    <t>MOTTO CREW NECK SWEA</t>
  </si>
  <si>
    <t>HS190103</t>
  </si>
  <si>
    <t>192379803501</t>
  </si>
  <si>
    <t>731516689341</t>
  </si>
  <si>
    <t>P93000-CLASSIC FF D</t>
  </si>
  <si>
    <t>P93000</t>
  </si>
  <si>
    <t>670113589251</t>
  </si>
  <si>
    <t>840057903905</t>
  </si>
  <si>
    <t>PUFFER SIDE ZIP VEST</t>
  </si>
  <si>
    <t>FW19-V107</t>
  </si>
  <si>
    <t>AMERICAN STITCH LLC</t>
  </si>
  <si>
    <t>749372120779</t>
  </si>
  <si>
    <t>719250645274</t>
  </si>
  <si>
    <t>WHITE SPREAD</t>
  </si>
  <si>
    <t>24N1057</t>
  </si>
  <si>
    <t>732998446378</t>
  </si>
  <si>
    <t>732998446354</t>
  </si>
  <si>
    <t>749194481706</t>
  </si>
  <si>
    <t>THE REFINED EDI STRETCH</t>
  </si>
  <si>
    <t>40L2201</t>
  </si>
  <si>
    <t>749194481713</t>
  </si>
  <si>
    <t>190697713281</t>
  </si>
  <si>
    <t>TEAL EOE</t>
  </si>
  <si>
    <t>RSD101RA068</t>
  </si>
  <si>
    <t>192861045211</t>
  </si>
  <si>
    <t>192861300150</t>
  </si>
  <si>
    <t>732998459033</t>
  </si>
  <si>
    <t>732998459019</t>
  </si>
  <si>
    <t>732998459002</t>
  </si>
  <si>
    <t>191480919545</t>
  </si>
  <si>
    <t>ARMOUR FLEECE 1/4 ZIP</t>
  </si>
  <si>
    <t>889319521730</t>
  </si>
  <si>
    <t>191603964711</t>
  </si>
  <si>
    <t>DRES RAND FLC JKT BASIC</t>
  </si>
  <si>
    <t>192616324653</t>
  </si>
  <si>
    <t>TIRO 19 PANT</t>
  </si>
  <si>
    <t>FK9865</t>
  </si>
  <si>
    <t>731516137309</t>
  </si>
  <si>
    <t>SS SLIM FCA DECK POL</t>
  </si>
  <si>
    <t>K93001</t>
  </si>
  <si>
    <t>193327395338</t>
  </si>
  <si>
    <t>193327395352</t>
  </si>
  <si>
    <t>732994533485</t>
  </si>
  <si>
    <t>PROPS SWEATER</t>
  </si>
  <si>
    <t>192536815989</t>
  </si>
  <si>
    <t>KNITTED CAP</t>
  </si>
  <si>
    <t>RB1081</t>
  </si>
  <si>
    <t>17457020239</t>
  </si>
  <si>
    <t>TEXTURE WEAVE</t>
  </si>
  <si>
    <t>KD00507</t>
  </si>
  <si>
    <t>889812962238</t>
  </si>
  <si>
    <t>CM BT SIG STRETCHPLT TIM</t>
  </si>
  <si>
    <t>50X29</t>
  </si>
  <si>
    <t>SOLID: COTTON/ELASTANE; HEATHER: COTTON/POLYESTER/ELASTANE</t>
  </si>
  <si>
    <t>11531856424</t>
  </si>
  <si>
    <t>BOXER BRIEF 3 PK</t>
  </si>
  <si>
    <t>NB1361</t>
  </si>
  <si>
    <t>884411002163</t>
  </si>
  <si>
    <t>191603987598</t>
  </si>
  <si>
    <t>BOOTHE</t>
  </si>
  <si>
    <t>3LGLW1554</t>
  </si>
  <si>
    <t>738994391995</t>
  </si>
  <si>
    <t>STEA TRAINING JOGGER BASIC</t>
  </si>
  <si>
    <t>P1730------</t>
  </si>
  <si>
    <t>POLYESTER/SPANDEX; POCKET BAGS: POLYESTER/LYCRA® SPANDEX</t>
  </si>
  <si>
    <t>732998340959</t>
  </si>
  <si>
    <t>PORTRAIT TRACK JKT</t>
  </si>
  <si>
    <t>732998340973</t>
  </si>
  <si>
    <t>883498657808</t>
  </si>
  <si>
    <t>883498657945</t>
  </si>
  <si>
    <t>191603944874</t>
  </si>
  <si>
    <t>CRANCE L/S WOVEN</t>
  </si>
  <si>
    <t>3LGLW1552</t>
  </si>
  <si>
    <t>191603957140</t>
  </si>
  <si>
    <t>191603999690</t>
  </si>
  <si>
    <t>SODA DARROW</t>
  </si>
  <si>
    <t>732994328470</t>
  </si>
  <si>
    <t>TECH PANT BASIC</t>
  </si>
  <si>
    <t>ALFANI RED-MMG/ALFANI</t>
  </si>
  <si>
    <t>193851255252</t>
  </si>
  <si>
    <t>TUGREENY</t>
  </si>
  <si>
    <t>BM21639</t>
  </si>
  <si>
    <t>611318509217</t>
  </si>
  <si>
    <t>MICRO MELANGE CASTLEROCKBASIC</t>
  </si>
  <si>
    <t>PG7F018</t>
  </si>
  <si>
    <t>732998463580</t>
  </si>
  <si>
    <t>HARRY TROUSER</t>
  </si>
  <si>
    <t>732998463559</t>
  </si>
  <si>
    <t>732998463511</t>
  </si>
  <si>
    <t>732998463542</t>
  </si>
  <si>
    <t>732998341017</t>
  </si>
  <si>
    <t>CRIME JACKET</t>
  </si>
  <si>
    <t>732998341031</t>
  </si>
  <si>
    <t>732998340997</t>
  </si>
  <si>
    <t>732998340980</t>
  </si>
  <si>
    <t>732998341024</t>
  </si>
  <si>
    <t>732997835807</t>
  </si>
  <si>
    <t>CLICHE PULLOVER</t>
  </si>
  <si>
    <t>192503899141</t>
  </si>
  <si>
    <t>BRUSHED FLEECE LONG SLEE</t>
  </si>
  <si>
    <t>PK50HR4GY</t>
  </si>
  <si>
    <t>POLO/HANESBRANDS INC</t>
  </si>
  <si>
    <t>191603961130</t>
  </si>
  <si>
    <t>732997708477</t>
  </si>
  <si>
    <t>732998453239</t>
  </si>
  <si>
    <t>732998453222</t>
  </si>
  <si>
    <t>732998453192</t>
  </si>
  <si>
    <t>732998453185</t>
  </si>
  <si>
    <t>732998453178</t>
  </si>
  <si>
    <t>732998453277</t>
  </si>
  <si>
    <t>732998453284</t>
  </si>
  <si>
    <t>732998237877</t>
  </si>
  <si>
    <t>LS HORIZON DYE BASIC</t>
  </si>
  <si>
    <t>100084972MN</t>
  </si>
  <si>
    <t>732997944974</t>
  </si>
  <si>
    <t>POP CLR WNDWPN SLM V</t>
  </si>
  <si>
    <t>732997708965</t>
  </si>
  <si>
    <t>190416216567</t>
  </si>
  <si>
    <t>EASY KHAKI STRCH CLS</t>
  </si>
  <si>
    <t>726895252224</t>
  </si>
  <si>
    <t>CORE BONDED QTR ZIP</t>
  </si>
  <si>
    <t>726895252231</t>
  </si>
  <si>
    <t>631712453374</t>
  </si>
  <si>
    <t>631712453343</t>
  </si>
  <si>
    <t>631712499358</t>
  </si>
  <si>
    <t>631712499389</t>
  </si>
  <si>
    <t>192166593004</t>
  </si>
  <si>
    <t>LS EOE WOVEN SOLID</t>
  </si>
  <si>
    <t>S2085113ME</t>
  </si>
  <si>
    <t>631712453398</t>
  </si>
  <si>
    <t>732996855387</t>
  </si>
  <si>
    <t>732998256892</t>
  </si>
  <si>
    <t>732998256861</t>
  </si>
  <si>
    <t>732997264690</t>
  </si>
  <si>
    <t>732997264317</t>
  </si>
  <si>
    <t>732997265239</t>
  </si>
  <si>
    <t>732997264577</t>
  </si>
  <si>
    <t>732998287964</t>
  </si>
  <si>
    <t>LS ABSTCT SCRBL SHRT</t>
  </si>
  <si>
    <t>TENCEL® LYOCELL</t>
  </si>
  <si>
    <t>732998287933</t>
  </si>
  <si>
    <t>732997149614</t>
  </si>
  <si>
    <t>OMBRE CREW</t>
  </si>
  <si>
    <t>100069803MN</t>
  </si>
  <si>
    <t>37882386571</t>
  </si>
  <si>
    <t>ASST BOXER BRIEF BASIC</t>
  </si>
  <si>
    <t>732998427957</t>
  </si>
  <si>
    <t>SS ABST SCRBL SHRT</t>
  </si>
  <si>
    <t>732998427926</t>
  </si>
  <si>
    <t>732998427933</t>
  </si>
  <si>
    <t>732995971613</t>
  </si>
  <si>
    <t>LS PLATOON LINEN</t>
  </si>
  <si>
    <t>100064251MN</t>
  </si>
  <si>
    <t>LINEN/VISCOSE</t>
  </si>
  <si>
    <t>732997084205</t>
  </si>
  <si>
    <t>611318618940</t>
  </si>
  <si>
    <t>611318619404</t>
  </si>
  <si>
    <t>MODERN FIT OFF PRICE RAI</t>
  </si>
  <si>
    <t>5NSB0012</t>
  </si>
  <si>
    <t>732997836897</t>
  </si>
  <si>
    <t>CAMO FULL ZIP</t>
  </si>
  <si>
    <t>26217570976</t>
  </si>
  <si>
    <t>32MM GASKET LACE</t>
  </si>
  <si>
    <t>11TL04XZ02</t>
  </si>
  <si>
    <t>BONDED LEATHER/POLYESTER/POLYURETHANE</t>
  </si>
  <si>
    <t>17149056805</t>
  </si>
  <si>
    <t>35MM FEATHER EDGE WITH H</t>
  </si>
  <si>
    <t>11TL01X024</t>
  </si>
  <si>
    <t>POLYURETHANE/LEATHER/ETHYLENE VINYL ACETATE/POLYESTER</t>
  </si>
  <si>
    <t>192564262779</t>
  </si>
  <si>
    <t>USA TANK</t>
  </si>
  <si>
    <t>732997027387</t>
  </si>
  <si>
    <t>BETHPAGE HOODIE</t>
  </si>
  <si>
    <t>BODY: COTTON; FAUX FUR: POLYESTER</t>
  </si>
  <si>
    <t>37882773401</t>
  </si>
  <si>
    <t>37882773319</t>
  </si>
  <si>
    <t>722947212109</t>
  </si>
  <si>
    <t>35MM FLAT STRAP, REPEAT</t>
  </si>
  <si>
    <t>732998034711</t>
  </si>
  <si>
    <t>732998034643</t>
  </si>
  <si>
    <t>732998034674</t>
  </si>
  <si>
    <t>732998745297</t>
  </si>
  <si>
    <t>191744757043</t>
  </si>
  <si>
    <t>ELLESSE SL PRADO T-S</t>
  </si>
  <si>
    <t>EM07405</t>
  </si>
  <si>
    <t>ELLESSE/FILA USA INC</t>
  </si>
  <si>
    <t>100% COTTON SINGLE JERSEY</t>
  </si>
  <si>
    <t>732998034803</t>
  </si>
  <si>
    <t>15712004109</t>
  </si>
  <si>
    <t>BT AMIGO DRESS</t>
  </si>
  <si>
    <t>1P32051K</t>
  </si>
  <si>
    <t>48 REG</t>
  </si>
  <si>
    <t>732997262306</t>
  </si>
  <si>
    <t>732997262115</t>
  </si>
  <si>
    <t>732997262375</t>
  </si>
  <si>
    <t>732997262641</t>
  </si>
  <si>
    <t>732997262344</t>
  </si>
  <si>
    <t>732997262061</t>
  </si>
  <si>
    <t>732997262047</t>
  </si>
  <si>
    <t>706257341254</t>
  </si>
  <si>
    <t>191603987352</t>
  </si>
  <si>
    <t>191603987291</t>
  </si>
  <si>
    <t>732997168172</t>
  </si>
  <si>
    <t>732998424024</t>
  </si>
  <si>
    <t>732998423997</t>
  </si>
  <si>
    <t>732998424017</t>
  </si>
  <si>
    <t>732998423966</t>
  </si>
  <si>
    <t>732998424000</t>
  </si>
  <si>
    <t>723567850405</t>
  </si>
  <si>
    <t>BOROUGH TEE</t>
  </si>
  <si>
    <t>LM171B43</t>
  </si>
  <si>
    <t>732997117392</t>
  </si>
  <si>
    <t>191603962328</t>
  </si>
  <si>
    <t>TEESDALE</t>
  </si>
  <si>
    <t>3LGSK1536</t>
  </si>
  <si>
    <t>732995147889</t>
  </si>
  <si>
    <t>732995147735</t>
  </si>
  <si>
    <t>884411098654</t>
  </si>
  <si>
    <t>ENDRE THERMAL</t>
  </si>
  <si>
    <t>3LDLK3841</t>
  </si>
  <si>
    <t>884411096643</t>
  </si>
  <si>
    <t>732998674863</t>
  </si>
  <si>
    <t>732998674887</t>
  </si>
  <si>
    <t>17457038555</t>
  </si>
  <si>
    <t>STRETCH GAB PANT</t>
  </si>
  <si>
    <t>KD50196</t>
  </si>
  <si>
    <t>840903046947</t>
  </si>
  <si>
    <t>PVC FANNY PACK</t>
  </si>
  <si>
    <t>MM-855</t>
  </si>
  <si>
    <t>732996462936</t>
  </si>
  <si>
    <t>FRNCHRIB 1/4 ZIP CLB</t>
  </si>
  <si>
    <t>100062521MN</t>
  </si>
  <si>
    <t>732997761625</t>
  </si>
  <si>
    <t>MAXS SNOWY FOREST PT</t>
  </si>
  <si>
    <t>100073435MN</t>
  </si>
  <si>
    <t>190235771070</t>
  </si>
  <si>
    <t>SPEC SS</t>
  </si>
  <si>
    <t>M401VRSP</t>
  </si>
  <si>
    <t>732996354866</t>
  </si>
  <si>
    <t>4 WAY STRETCH SHORT</t>
  </si>
  <si>
    <t>100050909MN</t>
  </si>
  <si>
    <t>732998695295</t>
  </si>
  <si>
    <t>884411338972</t>
  </si>
  <si>
    <t>GRIM</t>
  </si>
  <si>
    <t>3LSP3698LS</t>
  </si>
  <si>
    <t>732996807461</t>
  </si>
  <si>
    <t>4PK CTN STR BXR BRF</t>
  </si>
  <si>
    <t>100070854MN</t>
  </si>
  <si>
    <t>732998547433</t>
  </si>
  <si>
    <t>LS SEALINE PLAID</t>
  </si>
  <si>
    <t>100089167MN</t>
  </si>
  <si>
    <t>732998547242</t>
  </si>
  <si>
    <t>732998547457</t>
  </si>
  <si>
    <t>732998547235</t>
  </si>
  <si>
    <t>732998547372</t>
  </si>
  <si>
    <t>732998547174</t>
  </si>
  <si>
    <t>732998547198</t>
  </si>
  <si>
    <t>732998547334</t>
  </si>
  <si>
    <t>756500268104</t>
  </si>
  <si>
    <t>885306801823</t>
  </si>
  <si>
    <t>BOXER</t>
  </si>
  <si>
    <t>MY3P590</t>
  </si>
  <si>
    <t>FRUIT OF THE LOOM/UNION UNDERWEAR</t>
  </si>
  <si>
    <t>732997104002</t>
  </si>
  <si>
    <t>810021393193</t>
  </si>
  <si>
    <t>726895601343</t>
  </si>
  <si>
    <t>726895601435</t>
  </si>
  <si>
    <t>732997851036</t>
  </si>
  <si>
    <t>732997175132</t>
  </si>
  <si>
    <t>192166358702</t>
  </si>
  <si>
    <t>192166358689</t>
  </si>
  <si>
    <t>192166358719</t>
  </si>
  <si>
    <t>192166358658</t>
  </si>
  <si>
    <t>192166358672</t>
  </si>
  <si>
    <t>192166358733</t>
  </si>
  <si>
    <t>608381184076</t>
  </si>
  <si>
    <t>608381182515</t>
  </si>
  <si>
    <t>706258955948</t>
  </si>
  <si>
    <t>TRAVEL STR LS HENLEY</t>
  </si>
  <si>
    <t>636202110591</t>
  </si>
  <si>
    <t>BD WH PINPOINT SS BASIC</t>
  </si>
  <si>
    <t>18.5 S/S</t>
  </si>
  <si>
    <t>192166358580</t>
  </si>
  <si>
    <t>192166358399</t>
  </si>
  <si>
    <t>192166358412</t>
  </si>
  <si>
    <t>192166358436</t>
  </si>
  <si>
    <t>192166358597</t>
  </si>
  <si>
    <t>192166358566</t>
  </si>
  <si>
    <t>192166358610</t>
  </si>
  <si>
    <t>192166358603</t>
  </si>
  <si>
    <t>192166358429</t>
  </si>
  <si>
    <t>192166358559</t>
  </si>
  <si>
    <t>726895161922</t>
  </si>
  <si>
    <t>653411888899</t>
  </si>
  <si>
    <t>REG STRIPE</t>
  </si>
  <si>
    <t>32LG057</t>
  </si>
  <si>
    <t>732995362190</t>
  </si>
  <si>
    <t>SS CRESTON SOLID</t>
  </si>
  <si>
    <t>LINEN/COTTON</t>
  </si>
  <si>
    <t>732996796604</t>
  </si>
  <si>
    <t>MODE SOLID</t>
  </si>
  <si>
    <t>732997616260</t>
  </si>
  <si>
    <t>716068622893</t>
  </si>
  <si>
    <t>ACDC HIGH VOLTAGE</t>
  </si>
  <si>
    <t>ACDC596</t>
  </si>
  <si>
    <t>MED YELLOW</t>
  </si>
  <si>
    <t>806409440016</t>
  </si>
  <si>
    <t>CHAMPION PIVOT 2.0 C</t>
  </si>
  <si>
    <t>CH2072</t>
  </si>
  <si>
    <t>679616005244</t>
  </si>
  <si>
    <t>H4X LOGO SLEEVE</t>
  </si>
  <si>
    <t>44H4A0013-300</t>
  </si>
  <si>
    <t>884411555041</t>
  </si>
  <si>
    <t>THE POWER</t>
  </si>
  <si>
    <t>2SW90076</t>
  </si>
  <si>
    <t>884411535470</t>
  </si>
  <si>
    <t>SPONGEBOB REPEAT</t>
  </si>
  <si>
    <t>2SPB440</t>
  </si>
  <si>
    <t>884411397733</t>
  </si>
  <si>
    <t>COLOR SILOS</t>
  </si>
  <si>
    <t>2MBT0533</t>
  </si>
  <si>
    <t>884411555102</t>
  </si>
  <si>
    <t>ALLEGIANCE</t>
  </si>
  <si>
    <t>2SW90080</t>
  </si>
  <si>
    <t>58665139245</t>
  </si>
  <si>
    <t>4 PK DOT CREW</t>
  </si>
  <si>
    <t>ACH121</t>
  </si>
  <si>
    <t>CALVIN KLEIN/PVH LEGWEAR LLC</t>
  </si>
  <si>
    <t>58665139191</t>
  </si>
  <si>
    <t>4 PK HOLIDAY DRESS</t>
  </si>
  <si>
    <t>ACH122</t>
  </si>
  <si>
    <t>633716832964</t>
  </si>
  <si>
    <t>BAG LEVIS</t>
  </si>
  <si>
    <t>9A8302A</t>
  </si>
  <si>
    <t>98593542908</t>
  </si>
  <si>
    <t>NAVY/HEA BLUE WINDOWPANE</t>
  </si>
  <si>
    <t>S112213</t>
  </si>
  <si>
    <t>732996399904</t>
  </si>
  <si>
    <t>BLOCKD STAR STRIPE T</t>
  </si>
  <si>
    <t>100060990MN</t>
  </si>
  <si>
    <t>192166357637</t>
  </si>
  <si>
    <t>192166357583</t>
  </si>
  <si>
    <t>732995135206</t>
  </si>
  <si>
    <t>732997523353</t>
  </si>
  <si>
    <t>OWEN MINI PSQ</t>
  </si>
  <si>
    <t>799463491783</t>
  </si>
  <si>
    <t>REVERSIBLE BELT</t>
  </si>
  <si>
    <t>3BT9284M</t>
  </si>
  <si>
    <t>BENIKO INC</t>
  </si>
  <si>
    <t>100% POLYESTER</t>
  </si>
  <si>
    <t>706257397701</t>
  </si>
  <si>
    <t>SIRO SPLIT CREW BASIC</t>
  </si>
  <si>
    <t>16649TEE</t>
  </si>
  <si>
    <t>732997497074</t>
  </si>
  <si>
    <t>FISHERMAN BEANIE</t>
  </si>
  <si>
    <t>100077214MN</t>
  </si>
  <si>
    <t>ACRYLIC/POLYESTER</t>
  </si>
  <si>
    <t>732996813295</t>
  </si>
  <si>
    <t>SS VNECK FASHION</t>
  </si>
  <si>
    <t>100072226MN</t>
  </si>
  <si>
    <t>848257097493</t>
  </si>
  <si>
    <t>SS VNK FASH HTHRS</t>
  </si>
  <si>
    <t>VHTRROSE18</t>
  </si>
  <si>
    <t>732996812687</t>
  </si>
  <si>
    <t>732996541419</t>
  </si>
  <si>
    <t>HOLIDAY STAMP</t>
  </si>
  <si>
    <t>100071066MN</t>
  </si>
  <si>
    <t>7612509392581</t>
  </si>
  <si>
    <t>T-SHIRT POLO WHITE</t>
  </si>
  <si>
    <t>BALLY NORTH AMERICA INC/CONSIGNMENT</t>
  </si>
  <si>
    <t>193851264643</t>
  </si>
  <si>
    <t>ASH-X BASIC</t>
  </si>
  <si>
    <t>BPMD00441T</t>
  </si>
  <si>
    <t>8055180500859</t>
  </si>
  <si>
    <t>POLO SHIRT</t>
  </si>
  <si>
    <t>8NZF75Z8M5Z1595</t>
  </si>
  <si>
    <t>754117246003</t>
  </si>
  <si>
    <t>TRUNK FINESTRIPE 1022252</t>
  </si>
  <si>
    <t>754117200531</t>
  </si>
  <si>
    <t>TRUNK STRIPE 10135130 04</t>
  </si>
  <si>
    <t>888987473013</t>
  </si>
  <si>
    <t>KAMARI CORDUROY MPPS</t>
  </si>
  <si>
    <t>IUP9-2039</t>
  </si>
  <si>
    <t>888987358877</t>
  </si>
  <si>
    <t>ALAMAR SOLID</t>
  </si>
  <si>
    <t>1UP9-1001</t>
  </si>
  <si>
    <t>732996813219</t>
  </si>
  <si>
    <t>8763241548</t>
  </si>
  <si>
    <t>ANDERSON COLORBLOCK PUFF</t>
  </si>
  <si>
    <t>78E2635</t>
  </si>
  <si>
    <t>883498601351</t>
  </si>
  <si>
    <t>LAUREN WINDOW BROWN/BLUE</t>
  </si>
  <si>
    <t>LACA12AM0036</t>
  </si>
  <si>
    <t>883498598385</t>
  </si>
  <si>
    <t>LACA12A20004</t>
  </si>
  <si>
    <t>883498741378</t>
  </si>
  <si>
    <t>BLACK &amp; WHITE PLAID</t>
  </si>
  <si>
    <t>LSST12FA0235</t>
  </si>
  <si>
    <t>SHELL: WOOL/SILK/LINEN; LINING: ACETATE</t>
  </si>
  <si>
    <t>883498583602</t>
  </si>
  <si>
    <t>887096256449</t>
  </si>
  <si>
    <t>RED WITH BLK SEQUIN</t>
  </si>
  <si>
    <t>VACO1TMS0002</t>
  </si>
  <si>
    <t>SHELL: COTTON/VISCOSE; LINING: POLYESTER</t>
  </si>
  <si>
    <t>193623572730</t>
  </si>
  <si>
    <t>193623530860</t>
  </si>
  <si>
    <t>193623530891</t>
  </si>
  <si>
    <t>192824413064</t>
  </si>
  <si>
    <t>THERMOCORE SHIRT</t>
  </si>
  <si>
    <t>NF0A3YRQGD5</t>
  </si>
  <si>
    <t>170 G/M² POLYESTER/NYLON WOVEN YARN-DYED BRUSHED TWILL</t>
  </si>
  <si>
    <t>191900965442</t>
  </si>
  <si>
    <t>UN PLYR TRUCKER L00</t>
  </si>
  <si>
    <t>LM8RP400</t>
  </si>
  <si>
    <t>LEVI'S OUTERWEAR/G-III APPAREL GRP</t>
  </si>
  <si>
    <t>POLYESTER/SPANDEX; FAUX FUR HOOD LINING: POLYESTER; SHELL BACK, SLEEVE LINING AND FILLER: POLYESTER</t>
  </si>
  <si>
    <t>8763312910</t>
  </si>
  <si>
    <t>M VICTOR POPOVER HOODIE</t>
  </si>
  <si>
    <t>78E2289</t>
  </si>
  <si>
    <t>883498599986</t>
  </si>
  <si>
    <t>PANT BLUE PLAID</t>
  </si>
  <si>
    <t>TLYRPBT50003</t>
  </si>
  <si>
    <t>883498588973</t>
  </si>
  <si>
    <t>883498585392</t>
  </si>
  <si>
    <t>LAUREN MINI HOUND B/W</t>
  </si>
  <si>
    <t>EDDWPRR40002</t>
  </si>
  <si>
    <t>883498591928</t>
  </si>
  <si>
    <t>883498438209</t>
  </si>
  <si>
    <t>GREY SOLID PANTS</t>
  </si>
  <si>
    <t>EDDWPAKX0006</t>
  </si>
  <si>
    <t>SHELL: WOOL/POLYESTER/LINEN; LINING: POLYESTER</t>
  </si>
  <si>
    <t>193150926037</t>
  </si>
  <si>
    <t>D GR M NSW CLUB HOODIE FZ</t>
  </si>
  <si>
    <t>BV3622</t>
  </si>
  <si>
    <t>XLRG TL/LG</t>
  </si>
  <si>
    <t>COTTON/POLYESTER; HOOD LINING: COTTON</t>
  </si>
  <si>
    <t>193238310161</t>
  </si>
  <si>
    <t>193238302784</t>
  </si>
  <si>
    <t>511 LEMONGRASS REPAIR</t>
  </si>
  <si>
    <t>193238354547</t>
  </si>
  <si>
    <t>193238963299</t>
  </si>
  <si>
    <t>11333732476</t>
  </si>
  <si>
    <t>35S1688</t>
  </si>
  <si>
    <t>191459033401</t>
  </si>
  <si>
    <t>M TBD VENT LTHR GLV</t>
  </si>
  <si>
    <t>UGG OF AUSTRALIA/FOWNES BROTHERS</t>
  </si>
  <si>
    <t>789023214044</t>
  </si>
  <si>
    <t>CLSC ESTATE PPC ASL BASIC</t>
  </si>
  <si>
    <t>POLO REPLEN/POLO RALPH LAUREN</t>
  </si>
  <si>
    <t>883820740710</t>
  </si>
  <si>
    <t>LEATHER-MODERN DRESS-DRE</t>
  </si>
  <si>
    <t>694786685249</t>
  </si>
  <si>
    <t>BLUE SLIM SOLID</t>
  </si>
  <si>
    <t>33K4396</t>
  </si>
  <si>
    <t>8763261201</t>
  </si>
  <si>
    <t>749372097200</t>
  </si>
  <si>
    <t>K94004-SS POLO YD ST</t>
  </si>
  <si>
    <t>K94004</t>
  </si>
  <si>
    <t>885400330243</t>
  </si>
  <si>
    <t>NI STCH POPLN HOLDY</t>
  </si>
  <si>
    <t>LAUREN/POLO</t>
  </si>
  <si>
    <t>885400331110</t>
  </si>
  <si>
    <t>885400331103</t>
  </si>
  <si>
    <t>767325343549</t>
  </si>
  <si>
    <t>NI STRCH BC HOLIDAY</t>
  </si>
  <si>
    <t>792179718700</t>
  </si>
  <si>
    <t>LIQUID MERCURY BUCKET</t>
  </si>
  <si>
    <t>K5271</t>
  </si>
  <si>
    <t>11333725546</t>
  </si>
  <si>
    <t>191764713593</t>
  </si>
  <si>
    <t>631712559236</t>
  </si>
  <si>
    <t>LS SLM WF STRETCH</t>
  </si>
  <si>
    <t>33K4492</t>
  </si>
  <si>
    <t>11333725300</t>
  </si>
  <si>
    <t>732998340942</t>
  </si>
  <si>
    <t>627736506639</t>
  </si>
  <si>
    <t>883498641814</t>
  </si>
  <si>
    <t>MCROTWILL LT GRAY</t>
  </si>
  <si>
    <t>NRTNPCFY1010</t>
  </si>
  <si>
    <t>883498642507</t>
  </si>
  <si>
    <t>MCROTWILL GRN</t>
  </si>
  <si>
    <t>NRTNPCFY1015</t>
  </si>
  <si>
    <t>191603999485</t>
  </si>
  <si>
    <t>NEW DARROW</t>
  </si>
  <si>
    <t>663309620418</t>
  </si>
  <si>
    <t>ALL OVER PRIDE TEE</t>
  </si>
  <si>
    <t>FT192021</t>
  </si>
  <si>
    <t>191603973904</t>
  </si>
  <si>
    <t>192500090824</t>
  </si>
  <si>
    <t>BLUE FURY SUPERSET HBR SS CREW</t>
  </si>
  <si>
    <t>AJ8023</t>
  </si>
  <si>
    <t>846958036315</t>
  </si>
  <si>
    <t>NW PACKER VST</t>
  </si>
  <si>
    <t>HDN569</t>
  </si>
  <si>
    <t>HAWKE &amp; CO/ZEE CO APPAREL-CONSIGN</t>
  </si>
  <si>
    <t>SHELL/LINING: NYLON; FILL: DOWN/POLYESTER</t>
  </si>
  <si>
    <t>740700780559</t>
  </si>
  <si>
    <t>CAST DRAWSTRING PANT WITH</t>
  </si>
  <si>
    <t>C8FB0147DS</t>
  </si>
  <si>
    <t>OUTDOOR TREND</t>
  </si>
  <si>
    <t>CUBAVERA/SUPREME INTERNATIONAL</t>
  </si>
  <si>
    <t>LINEN/RAYON</t>
  </si>
  <si>
    <t>193099295256</t>
  </si>
  <si>
    <t>TECI FL_SPR GF BOS</t>
  </si>
  <si>
    <t>EA2795</t>
  </si>
  <si>
    <t>732996825878</t>
  </si>
  <si>
    <t>192503141318</t>
  </si>
  <si>
    <t>TRACK PANT</t>
  </si>
  <si>
    <t>P3392407D55</t>
  </si>
  <si>
    <t>732998444985</t>
  </si>
  <si>
    <t>11333725362</t>
  </si>
  <si>
    <t>631712543617</t>
  </si>
  <si>
    <t>88541868846</t>
  </si>
  <si>
    <t>732998347743</t>
  </si>
  <si>
    <t>LS FAY GEO STRIPE BASIC</t>
  </si>
  <si>
    <t>100084664MN</t>
  </si>
  <si>
    <t>884411348049</t>
  </si>
  <si>
    <t>BAILEY CREW NECK</t>
  </si>
  <si>
    <t>3LGLK1992</t>
  </si>
  <si>
    <t>732998031734</t>
  </si>
  <si>
    <t>732996855530</t>
  </si>
  <si>
    <t>884411347974</t>
  </si>
  <si>
    <t>689439500994</t>
  </si>
  <si>
    <t>MAXR BASKET TEXTURE BASIC</t>
  </si>
  <si>
    <t>732997456972</t>
  </si>
  <si>
    <t>663309610280</t>
  </si>
  <si>
    <t>STOP WORLD WAR III NOW T</t>
  </si>
  <si>
    <t>FT193040</t>
  </si>
  <si>
    <t>732998362012</t>
  </si>
  <si>
    <t>732998362029</t>
  </si>
  <si>
    <t>732998362005</t>
  </si>
  <si>
    <t>732998361930</t>
  </si>
  <si>
    <t>732998361992</t>
  </si>
  <si>
    <t>732998186663</t>
  </si>
  <si>
    <t>CRASH CAMO BLOCKED S BASIC</t>
  </si>
  <si>
    <t>100084654MN</t>
  </si>
  <si>
    <t>732998186700</t>
  </si>
  <si>
    <t>756500821262</t>
  </si>
  <si>
    <t>ETCHED WINDOWPANE B</t>
  </si>
  <si>
    <t>K7933551</t>
  </si>
  <si>
    <t>732998122777</t>
  </si>
  <si>
    <t>CIRA FLORAL PRINT</t>
  </si>
  <si>
    <t>100082921MN</t>
  </si>
  <si>
    <t>732998030560</t>
  </si>
  <si>
    <t>732997830789</t>
  </si>
  <si>
    <t>732997234334</t>
  </si>
  <si>
    <t>LS REFT SHIRT</t>
  </si>
  <si>
    <t>732998149675</t>
  </si>
  <si>
    <t>732998411031</t>
  </si>
  <si>
    <t>BLOCKED SLUB HOODIE BASIC</t>
  </si>
  <si>
    <t>100083778MN</t>
  </si>
  <si>
    <t>732998411130</t>
  </si>
  <si>
    <t>732997547618</t>
  </si>
  <si>
    <t>732998417491</t>
  </si>
  <si>
    <t>732996930794</t>
  </si>
  <si>
    <t>674198382141</t>
  </si>
  <si>
    <t>WHIT DS LINEN SHORT</t>
  </si>
  <si>
    <t>61585WHITE</t>
  </si>
  <si>
    <t>732995576344</t>
  </si>
  <si>
    <t>732994255875</t>
  </si>
  <si>
    <t>OTTOMAN BLOCKED FZIP</t>
  </si>
  <si>
    <t>193671007642</t>
  </si>
  <si>
    <t>732995148008</t>
  </si>
  <si>
    <t>732996676579</t>
  </si>
  <si>
    <t>MAXS SM JACQUARD FL</t>
  </si>
  <si>
    <t>732996676586</t>
  </si>
  <si>
    <t>732996676616</t>
  </si>
  <si>
    <t>732996676562</t>
  </si>
  <si>
    <t>732998139324</t>
  </si>
  <si>
    <t>732998139225</t>
  </si>
  <si>
    <t>732998112396</t>
  </si>
  <si>
    <t>732996931111</t>
  </si>
  <si>
    <t>756500210882</t>
  </si>
  <si>
    <t>756500210592</t>
  </si>
  <si>
    <t>732997896471</t>
  </si>
  <si>
    <t>SS TROPICAL DYE SHRT</t>
  </si>
  <si>
    <t>100082739MN</t>
  </si>
  <si>
    <t>732994964784</t>
  </si>
  <si>
    <t>SPR SPIRAL DOT</t>
  </si>
  <si>
    <t>100049544MN</t>
  </si>
  <si>
    <t>889928985213</t>
  </si>
  <si>
    <t>WAVY PANDA TEE</t>
  </si>
  <si>
    <t>J191050</t>
  </si>
  <si>
    <t>L-R-G (LIFTED RESEARCH GROUP)</t>
  </si>
  <si>
    <t>732998459347</t>
  </si>
  <si>
    <t>BERK TEE</t>
  </si>
  <si>
    <t>732995614916</t>
  </si>
  <si>
    <t>MAXS TONAL HNDSTOOTH</t>
  </si>
  <si>
    <t>100059838MN</t>
  </si>
  <si>
    <t>726895465181</t>
  </si>
  <si>
    <t>732996676135</t>
  </si>
  <si>
    <t>732996676104</t>
  </si>
  <si>
    <t>732996676166</t>
  </si>
  <si>
    <t>732998044345</t>
  </si>
  <si>
    <t>732995470383</t>
  </si>
  <si>
    <t>MAXS DAISY DOBBY</t>
  </si>
  <si>
    <t>100056107MN</t>
  </si>
  <si>
    <t>732997103951</t>
  </si>
  <si>
    <t>726895602494</t>
  </si>
  <si>
    <t>706257392829</t>
  </si>
  <si>
    <t>732996551296</t>
  </si>
  <si>
    <t>636189909737</t>
  </si>
  <si>
    <t>732998459132</t>
  </si>
  <si>
    <t>716106898877</t>
  </si>
  <si>
    <t>732998109938</t>
  </si>
  <si>
    <t>732997168561</t>
  </si>
  <si>
    <t>10305CY436</t>
  </si>
  <si>
    <t>26217334950</t>
  </si>
  <si>
    <t>ACID WASHED CUFF BEANIE</t>
  </si>
  <si>
    <t>44LV040052</t>
  </si>
  <si>
    <t>706256385624</t>
  </si>
  <si>
    <t>22653194165</t>
  </si>
  <si>
    <t>SLKHT SPORT GLOVE M</t>
  </si>
  <si>
    <t>663BF</t>
  </si>
  <si>
    <t>SHELL, LINING, PALM, INSULATION: POLYESTER</t>
  </si>
  <si>
    <t>732998112105</t>
  </si>
  <si>
    <t>732998112150</t>
  </si>
  <si>
    <t>79402219853</t>
  </si>
  <si>
    <t>732996798851</t>
  </si>
  <si>
    <t>SORRENTO PAISLEY</t>
  </si>
  <si>
    <t>806409429684</t>
  </si>
  <si>
    <t>732996513546</t>
  </si>
  <si>
    <t>ISLAND STRIPE FASH</t>
  </si>
  <si>
    <t>732997813218</t>
  </si>
  <si>
    <t>732997751701</t>
  </si>
  <si>
    <t>732997127582</t>
  </si>
  <si>
    <t>LS DOUBLR HENLEY SLD</t>
  </si>
  <si>
    <t>100064125MN</t>
  </si>
  <si>
    <t>640013840042</t>
  </si>
  <si>
    <t>LA NIGHTS</t>
  </si>
  <si>
    <t>UY119567</t>
  </si>
  <si>
    <t>640013839978</t>
  </si>
  <si>
    <t>EXPLORE 80</t>
  </si>
  <si>
    <t>UY119512</t>
  </si>
  <si>
    <t>640013839985</t>
  </si>
  <si>
    <t>732997497081</t>
  </si>
  <si>
    <t>732996848976</t>
  </si>
  <si>
    <t>732997017944</t>
  </si>
  <si>
    <t>726895563221</t>
  </si>
  <si>
    <t>747476734137</t>
  </si>
  <si>
    <t>LIGHT BLUE SHARK JACKET</t>
  </si>
  <si>
    <t>SHELL: WOOL; BODY LINING: VISCOSE; SLEEVE LINING: VISCOSE/ACETATE</t>
  </si>
  <si>
    <t>732997764909</t>
  </si>
  <si>
    <t>SUEDE VEST</t>
  </si>
  <si>
    <t>100076644MN</t>
  </si>
  <si>
    <t>LEATHER; LINING &amp; FILL: POLYESTER</t>
  </si>
  <si>
    <t>885400520910</t>
  </si>
  <si>
    <t>21 WALE CORDUROY-CU BD P</t>
  </si>
  <si>
    <t>44 BIG</t>
  </si>
  <si>
    <t>POLO BIG&amp;TALL</t>
  </si>
  <si>
    <t>8763084756</t>
  </si>
  <si>
    <t>DAHL COLORBLOCK VEST</t>
  </si>
  <si>
    <t>78E1804</t>
  </si>
  <si>
    <t>663309678266</t>
  </si>
  <si>
    <t>883498412841</t>
  </si>
  <si>
    <t>NAVY PLAIN</t>
  </si>
  <si>
    <t>LSST12RU0002</t>
  </si>
  <si>
    <t>56 R/M37.5</t>
  </si>
  <si>
    <t>SHELL: LINEN; LINING: POLYESTER</t>
  </si>
  <si>
    <t>885400186888</t>
  </si>
  <si>
    <t>749862407311</t>
  </si>
  <si>
    <t>TECH PIQUE-SSKC CLSM8-SH</t>
  </si>
  <si>
    <t>SHELL: POLYESTER; COLLAR, CUFFS: POLYESTER/ELASTANE</t>
  </si>
  <si>
    <t>663309678327</t>
  </si>
  <si>
    <t>663309668946</t>
  </si>
  <si>
    <t>BLACK DENIM WITH TAPING</t>
  </si>
  <si>
    <t>HJ192800</t>
  </si>
  <si>
    <t>663309668823</t>
  </si>
  <si>
    <t>749862265263</t>
  </si>
  <si>
    <t>PERFORMANCE MESH-SHORT M</t>
  </si>
  <si>
    <t>749862581479</t>
  </si>
  <si>
    <t>52176281240</t>
  </si>
  <si>
    <t>JOGGER FREE RUNNER</t>
  </si>
  <si>
    <t>883498019477</t>
  </si>
  <si>
    <t>LIGHT BLUE WINDOW</t>
  </si>
  <si>
    <t>KELS1K2Y0630</t>
  </si>
  <si>
    <t>732997754511</t>
  </si>
  <si>
    <t>FLRL JCQ SLM BLZ</t>
  </si>
  <si>
    <t>732997754603</t>
  </si>
  <si>
    <t>622362870215</t>
  </si>
  <si>
    <t>BLAC NEWMPTSP0000 2REVPLT</t>
  </si>
  <si>
    <t>NEWMPTSP0000</t>
  </si>
  <si>
    <t>663309672448</t>
  </si>
  <si>
    <t>L/S BUFFALO PLAID OUT DO</t>
  </si>
  <si>
    <t>HW192416</t>
  </si>
  <si>
    <t>663309595730</t>
  </si>
  <si>
    <t>L/S MELANGE PLAID SHIRT</t>
  </si>
  <si>
    <t>FW192414</t>
  </si>
  <si>
    <t>SHELL: 100% COTTON; UNDER CUFFS AND POCKET TRIM: POLYESTER SUEDE</t>
  </si>
  <si>
    <t>193600663574</t>
  </si>
  <si>
    <t>LS BD DITSY FLORAL</t>
  </si>
  <si>
    <t>CR94CK87VN</t>
  </si>
  <si>
    <t>M KORS MENS</t>
  </si>
  <si>
    <t>MICHAEL KORS LLC</t>
  </si>
  <si>
    <t>663309672479</t>
  </si>
  <si>
    <t>663309595747</t>
  </si>
  <si>
    <t>663309595754</t>
  </si>
  <si>
    <t>4XLRG S/S</t>
  </si>
  <si>
    <t>663309595600</t>
  </si>
  <si>
    <t>L/S HEATHER FLANNEL SHIR</t>
  </si>
  <si>
    <t>FW194419</t>
  </si>
  <si>
    <t>636206074295</t>
  </si>
  <si>
    <t>HALL SKNY JEAN</t>
  </si>
  <si>
    <t>8763058719</t>
  </si>
  <si>
    <t>BILL QZ MOCK</t>
  </si>
  <si>
    <t>78C6087</t>
  </si>
  <si>
    <t>732996678023</t>
  </si>
  <si>
    <t>ANIMAL PRNTD SLM BLZ</t>
  </si>
  <si>
    <t>732997754559</t>
  </si>
  <si>
    <t>732998463818</t>
  </si>
  <si>
    <t>ABST VLVT SLM BLZ II</t>
  </si>
  <si>
    <t>732998463801</t>
  </si>
  <si>
    <t>732997946527</t>
  </si>
  <si>
    <t>190365222398</t>
  </si>
  <si>
    <t>OCEA 181 RELAXED STRT BASIC</t>
  </si>
  <si>
    <t>7M12358</t>
  </si>
  <si>
    <t>732998342762</t>
  </si>
  <si>
    <t>PAINT KNIT SLM BLZR</t>
  </si>
  <si>
    <t>POLYESTER/METALLIC/SPANDEX</t>
  </si>
  <si>
    <t>732998342755</t>
  </si>
  <si>
    <t>749194644217</t>
  </si>
  <si>
    <t>MERINO BLEND TEXTURE STI</t>
  </si>
  <si>
    <t>40Q7005</t>
  </si>
  <si>
    <t>SHELL: ACRYLIC/WOOL/NYLON; TRIM: ACRYLIC/NYLON/ELASTANE</t>
  </si>
  <si>
    <t>663309612239</t>
  </si>
  <si>
    <t>POLO</t>
  </si>
  <si>
    <t>FK191506</t>
  </si>
  <si>
    <t>732998292142</t>
  </si>
  <si>
    <t>PRNTD VLVT SLM BLZR</t>
  </si>
  <si>
    <t>732998292159</t>
  </si>
  <si>
    <t>193238962742</t>
  </si>
  <si>
    <t>193238939614</t>
  </si>
  <si>
    <t>193238597159</t>
  </si>
  <si>
    <t>511 WINETASTING</t>
  </si>
  <si>
    <t>193239909753</t>
  </si>
  <si>
    <t>193238963381</t>
  </si>
  <si>
    <t>193238939607</t>
  </si>
  <si>
    <t>193238963220</t>
  </si>
  <si>
    <t>193238963282</t>
  </si>
  <si>
    <t>193238962858</t>
  </si>
  <si>
    <t>192379320039</t>
  </si>
  <si>
    <t>193238319911</t>
  </si>
  <si>
    <t>731516159776</t>
  </si>
  <si>
    <t>K93554-SS GREY PRINT</t>
  </si>
  <si>
    <t>K93554</t>
  </si>
  <si>
    <t>8763089140</t>
  </si>
  <si>
    <t>LITTLETON STRIPE CLF LS</t>
  </si>
  <si>
    <t>78E1907</t>
  </si>
  <si>
    <t>8763070773</t>
  </si>
  <si>
    <t>HEMENWAY SS POLO</t>
  </si>
  <si>
    <t>78E1706</t>
  </si>
  <si>
    <t>8763070766</t>
  </si>
  <si>
    <t>8763087863</t>
  </si>
  <si>
    <t>AUSTIN CHECK CLF LS 100S</t>
  </si>
  <si>
    <t>78E1897</t>
  </si>
  <si>
    <t>885400910018</t>
  </si>
  <si>
    <t>26/1 JERSEY-LSCNCLSM5-LO</t>
  </si>
  <si>
    <t>11333556454</t>
  </si>
  <si>
    <t>BLUE PRINT SLIM</t>
  </si>
  <si>
    <t>DKNY/DESIGNER GROUP</t>
  </si>
  <si>
    <t>NYLON/POLYESTER/ELASTANE</t>
  </si>
  <si>
    <t>39307134675</t>
  </si>
  <si>
    <t>559 TUMBLED RIGID</t>
  </si>
  <si>
    <t>39307795159</t>
  </si>
  <si>
    <t>740670723402</t>
  </si>
  <si>
    <t>L/S COTTON NEP PLAID SHI</t>
  </si>
  <si>
    <t>OPWF9091OP</t>
  </si>
  <si>
    <t>749194654117</t>
  </si>
  <si>
    <t>QUARTER ZIP</t>
  </si>
  <si>
    <t>40Q4013</t>
  </si>
  <si>
    <t>192810749573</t>
  </si>
  <si>
    <t>731516336016</t>
  </si>
  <si>
    <t>W93508-BS OXFORD PRN</t>
  </si>
  <si>
    <t>W93508</t>
  </si>
  <si>
    <t>190779004016</t>
  </si>
  <si>
    <t>B&amp;T 541 WHITE</t>
  </si>
  <si>
    <t>36X38</t>
  </si>
  <si>
    <t>COTTON/LYOCELL/ELASTANE</t>
  </si>
  <si>
    <t>190779855632</t>
  </si>
  <si>
    <t>B&amp;T 541 CARBON INK</t>
  </si>
  <si>
    <t>44X34</t>
  </si>
  <si>
    <t>COTTON /ELASTANE</t>
  </si>
  <si>
    <t>749862854320</t>
  </si>
  <si>
    <t>26/1 JERSEY-SSCNPKTCLSM1</t>
  </si>
  <si>
    <t>883661626235</t>
  </si>
  <si>
    <t>AUGUSTA HIPSTER BIG</t>
  </si>
  <si>
    <t>L47405MX</t>
  </si>
  <si>
    <t>B&amp;T OUTERWEAR</t>
  </si>
  <si>
    <t>POLYESTER/NYLON; LINING: POLYESTER</t>
  </si>
  <si>
    <t>719220398735</t>
  </si>
  <si>
    <t>SANDERS POLO CF</t>
  </si>
  <si>
    <t>78A6535</t>
  </si>
  <si>
    <t>8763092423</t>
  </si>
  <si>
    <t>CALMON PLAID LS SHIR</t>
  </si>
  <si>
    <t>78E1875</t>
  </si>
  <si>
    <t>740670711942</t>
  </si>
  <si>
    <t>SS ENGINEERED STRIPE POL</t>
  </si>
  <si>
    <t>OPKF9069OP</t>
  </si>
  <si>
    <t>749194684596</t>
  </si>
  <si>
    <t>LS WOVEN</t>
  </si>
  <si>
    <t>40Q5061</t>
  </si>
  <si>
    <t>749194684701</t>
  </si>
  <si>
    <t>40Q5091</t>
  </si>
  <si>
    <t>192290390173</t>
  </si>
  <si>
    <t>RUGGED RIDGE HLF SNAP</t>
  </si>
  <si>
    <t>735991637170</t>
  </si>
  <si>
    <t>735991637392</t>
  </si>
  <si>
    <t>694786123673</t>
  </si>
  <si>
    <t>735991637316</t>
  </si>
  <si>
    <t>11333343368</t>
  </si>
  <si>
    <t>NAVY SLIM PRINT</t>
  </si>
  <si>
    <t>24N1383</t>
  </si>
  <si>
    <t>SUPIMA COTTON/ELASTANE</t>
  </si>
  <si>
    <t>735991637309</t>
  </si>
  <si>
    <t>11531790032</t>
  </si>
  <si>
    <t>BRIEF</t>
  </si>
  <si>
    <t>NB1428</t>
  </si>
  <si>
    <t>83624597231</t>
  </si>
  <si>
    <t>CHAR SLIM BASIC</t>
  </si>
  <si>
    <t>87MWMGD</t>
  </si>
  <si>
    <t>WRANGLER/V F JEANSWEAR</t>
  </si>
  <si>
    <t>SUPER BLEACH WASH: COTTON/POLYESTER/SPANDEX. ALL OTHER WASHES: COTTON/SPANDEX.</t>
  </si>
  <si>
    <t>39307751001</t>
  </si>
  <si>
    <t>Ligh 560 COMFORT FIT BT M</t>
  </si>
  <si>
    <t>663309614059</t>
  </si>
  <si>
    <t>CAMO SHAWL NECK SWEA</t>
  </si>
  <si>
    <t>HS190112</t>
  </si>
  <si>
    <t>191056121501</t>
  </si>
  <si>
    <t>BLUE SLIM BASIC</t>
  </si>
  <si>
    <t>87MWMAN</t>
  </si>
  <si>
    <t>8055180404560</t>
  </si>
  <si>
    <t>COTTON JERSEY LONG SLEEV</t>
  </si>
  <si>
    <t>6GZTANZJH4Z1200</t>
  </si>
  <si>
    <t>883498407526</t>
  </si>
  <si>
    <t>EDDWPACV0002</t>
  </si>
  <si>
    <t>797762043658</t>
  </si>
  <si>
    <t>4-PKT SATEEN X-FIT TORNA</t>
  </si>
  <si>
    <t>719250353292</t>
  </si>
  <si>
    <t>749372038869</t>
  </si>
  <si>
    <t>52X30</t>
  </si>
  <si>
    <t>11333362437</t>
  </si>
  <si>
    <t>LS ATHLETIC FLEX</t>
  </si>
  <si>
    <t>749194890973</t>
  </si>
  <si>
    <t>749194891024</t>
  </si>
  <si>
    <t>741065248760</t>
  </si>
  <si>
    <t>THE STRETCH-COTTON E</t>
  </si>
  <si>
    <t>40M8079</t>
  </si>
  <si>
    <t>732997490556</t>
  </si>
  <si>
    <t>TECH PANT</t>
  </si>
  <si>
    <t>670113846187</t>
  </si>
  <si>
    <t>8" BLUE SAIL VARIGATED S</t>
  </si>
  <si>
    <t>T92109</t>
  </si>
  <si>
    <t>670113595535</t>
  </si>
  <si>
    <t>732997948583</t>
  </si>
  <si>
    <t>BT POP CLR WNDWPN PT BASIC</t>
  </si>
  <si>
    <t>100075961BT</t>
  </si>
  <si>
    <t>193327038235</t>
  </si>
  <si>
    <t>SS BSC NIGHT WATCH CREW</t>
  </si>
  <si>
    <t>M92391K75RN</t>
  </si>
  <si>
    <t>PINKOVERFL</t>
  </si>
  <si>
    <t>611318612795</t>
  </si>
  <si>
    <t>LIGHT GREY SLIM TRANSITI</t>
  </si>
  <si>
    <t>5NFB0032</t>
  </si>
  <si>
    <t>192499115935</t>
  </si>
  <si>
    <t>OXYP M NKCT DRY POLO TEAM</t>
  </si>
  <si>
    <t>11333880061</t>
  </si>
  <si>
    <t>11333879805</t>
  </si>
  <si>
    <t>11333879683</t>
  </si>
  <si>
    <t>11333879775</t>
  </si>
  <si>
    <t>663309610518</t>
  </si>
  <si>
    <t>KEEP CHANGING TEE</t>
  </si>
  <si>
    <t>FT193047</t>
  </si>
  <si>
    <t>COCOA</t>
  </si>
  <si>
    <t>663309571666</t>
  </si>
  <si>
    <t>TIGER CAMO TEE</t>
  </si>
  <si>
    <t>FT191008</t>
  </si>
  <si>
    <t>663309571727</t>
  </si>
  <si>
    <t>719250709488</t>
  </si>
  <si>
    <t>WHITE FLEX SOLID</t>
  </si>
  <si>
    <t>24N1100</t>
  </si>
  <si>
    <t>8763114040</t>
  </si>
  <si>
    <t>IVY POLO SHIRT CF</t>
  </si>
  <si>
    <t>78D8673</t>
  </si>
  <si>
    <t>889498174994</t>
  </si>
  <si>
    <t>PLAID CARDIGAN</t>
  </si>
  <si>
    <t>TLO9FSK724-300</t>
  </si>
  <si>
    <t>60% POLYESTER/35% RAYON/5% SPANDEX</t>
  </si>
  <si>
    <t>670113743684</t>
  </si>
  <si>
    <t>Z91509-BLUE SAIL FAS</t>
  </si>
  <si>
    <t>Z91509</t>
  </si>
  <si>
    <t>52 BIG</t>
  </si>
  <si>
    <t>732998125662</t>
  </si>
  <si>
    <t>732998125631</t>
  </si>
  <si>
    <t>846593061987</t>
  </si>
  <si>
    <t>ST BARTS SHORTS</t>
  </si>
  <si>
    <t>PREMIUM DENIM/ORIGINAL PAPERBACKS</t>
  </si>
  <si>
    <t>627736289747</t>
  </si>
  <si>
    <t>WHITE LINEN VEST</t>
  </si>
  <si>
    <t>HITCV3WX1053</t>
  </si>
  <si>
    <t>627736289648</t>
  </si>
  <si>
    <t>LIGHT BLUE LINEN VEST</t>
  </si>
  <si>
    <t>HITCV3WX0020</t>
  </si>
  <si>
    <t>824972384780</t>
  </si>
  <si>
    <t>LAUREN NEW SLIM NVY PNT</t>
  </si>
  <si>
    <t>NMEEPCLY0005</t>
  </si>
  <si>
    <t>732997488249</t>
  </si>
  <si>
    <t>LS COMMUTER SHIRT</t>
  </si>
  <si>
    <t>11333298958</t>
  </si>
  <si>
    <t>19781996921</t>
  </si>
  <si>
    <t>B&amp;T STRETCH DENIMCLASSIC</t>
  </si>
  <si>
    <t>HC90280</t>
  </si>
  <si>
    <t>HAGGAR CO</t>
  </si>
  <si>
    <t>689439877461</t>
  </si>
  <si>
    <t>738085421761</t>
  </si>
  <si>
    <t>738085421808</t>
  </si>
  <si>
    <t>192536258465</t>
  </si>
  <si>
    <t>TH6710</t>
  </si>
  <si>
    <t>6</t>
  </si>
  <si>
    <t>889498173119</t>
  </si>
  <si>
    <t>PAISLEY LONG SLEEVE SHIR</t>
  </si>
  <si>
    <t>TLO9FSW806-410</t>
  </si>
  <si>
    <t>192166417355</t>
  </si>
  <si>
    <t>WASHED CANVAS WORKWEAR V</t>
  </si>
  <si>
    <t>F970090ME</t>
  </si>
  <si>
    <t>SHELL: COTTON; LINING AND FILL: POLYESTER</t>
  </si>
  <si>
    <t>192810625013</t>
  </si>
  <si>
    <t>TECH POLO</t>
  </si>
  <si>
    <t>192810848344</t>
  </si>
  <si>
    <t>887162732228</t>
  </si>
  <si>
    <t>BLK- VITAL WOVEN PANT</t>
  </si>
  <si>
    <t>740670675053</t>
  </si>
  <si>
    <t>SS TEE</t>
  </si>
  <si>
    <t>OPKF9039OP</t>
  </si>
  <si>
    <t>889319301547</t>
  </si>
  <si>
    <t>39307209915</t>
  </si>
  <si>
    <t>39307209854</t>
  </si>
  <si>
    <t>19783134154</t>
  </si>
  <si>
    <t>COOL 18 PRO SLIM FIT PRE</t>
  </si>
  <si>
    <t>HC80287</t>
  </si>
  <si>
    <t>POLYESTER EXS WITH SORBTEK 365</t>
  </si>
  <si>
    <t>636206629907</t>
  </si>
  <si>
    <t>19781915304</t>
  </si>
  <si>
    <t>PLN PRMM NO IRON PANT</t>
  </si>
  <si>
    <t>HC90884</t>
  </si>
  <si>
    <t>19781804660</t>
  </si>
  <si>
    <t>PRE NO IRON B+T FF</t>
  </si>
  <si>
    <t>193600495199</t>
  </si>
  <si>
    <t>LEO PRNT SUNGLASS TEE</t>
  </si>
  <si>
    <t>CF95J27FV4</t>
  </si>
  <si>
    <t>888664237891</t>
  </si>
  <si>
    <t>STEENS MOUNTAIN HALF ZIP</t>
  </si>
  <si>
    <t>191455966253</t>
  </si>
  <si>
    <t>TERMINAL TACKLE PFG SLEEV</t>
  </si>
  <si>
    <t>732998340935</t>
  </si>
  <si>
    <t>882506284494</t>
  </si>
  <si>
    <t>KORS FF SOLID BLACK</t>
  </si>
  <si>
    <t>MITSPXQX0000</t>
  </si>
  <si>
    <t>882506278400</t>
  </si>
  <si>
    <t>627736508497</t>
  </si>
  <si>
    <t>MICROTWILL PLEAT</t>
  </si>
  <si>
    <t>NIBBPCFY0639</t>
  </si>
  <si>
    <t>SHELL: POLYESTER/RAYON/ELASTANE</t>
  </si>
  <si>
    <t>627736508152</t>
  </si>
  <si>
    <t>NIBBPCFY0602</t>
  </si>
  <si>
    <t>19783059648</t>
  </si>
  <si>
    <t>PRE COMFORT CLASSIC PLT</t>
  </si>
  <si>
    <t>HD00651</t>
  </si>
  <si>
    <t>POLYESTER/RECYCLED POLYESTER WITH EXS</t>
  </si>
  <si>
    <t>884411099514</t>
  </si>
  <si>
    <t>884411090139</t>
  </si>
  <si>
    <t>NORTE</t>
  </si>
  <si>
    <t>3LGLW1914</t>
  </si>
  <si>
    <t>731516035346</t>
  </si>
  <si>
    <t>B93000-8.5 DECK SHO</t>
  </si>
  <si>
    <t>B93000</t>
  </si>
  <si>
    <t>191603973805</t>
  </si>
  <si>
    <t>670113570693</t>
  </si>
  <si>
    <t>191603944812</t>
  </si>
  <si>
    <t>CRANCE</t>
  </si>
  <si>
    <t>191603945161</t>
  </si>
  <si>
    <t>884411099484</t>
  </si>
  <si>
    <t>670113570471</t>
  </si>
  <si>
    <t>732997754252</t>
  </si>
  <si>
    <t>735991702014</t>
  </si>
  <si>
    <t>LS SLIM NON-IRON SPD</t>
  </si>
  <si>
    <t>33K3020</t>
  </si>
  <si>
    <t>8763063539</t>
  </si>
  <si>
    <t>M IVY TEE</t>
  </si>
  <si>
    <t>78D9092</t>
  </si>
  <si>
    <t>8763259888</t>
  </si>
  <si>
    <t>M NASH LS TEE</t>
  </si>
  <si>
    <t>78E2793</t>
  </si>
  <si>
    <t>BRGHT YELL</t>
  </si>
  <si>
    <t>192412786501</t>
  </si>
  <si>
    <t>TOSLUB</t>
  </si>
  <si>
    <t>BM21290</t>
  </si>
  <si>
    <t>888412997183</t>
  </si>
  <si>
    <t>BLAC M NK CHLLGR SHORT BF</t>
  </si>
  <si>
    <t>888407525933</t>
  </si>
  <si>
    <t>PACB M NK DRY CLASSIC JBASIC</t>
  </si>
  <si>
    <t>AQ5591</t>
  </si>
  <si>
    <t>732997599181</t>
  </si>
  <si>
    <t>CASHMERE INTAR CRDGN</t>
  </si>
  <si>
    <t>100076634MN</t>
  </si>
  <si>
    <t>732997599198</t>
  </si>
  <si>
    <t>732997599167</t>
  </si>
  <si>
    <t>191797069551</t>
  </si>
  <si>
    <t>COLOR BLOCK 73 W/ 7 INSE</t>
  </si>
  <si>
    <t>CB9V6073</t>
  </si>
  <si>
    <t>CALVIN KLEIN/G-III APPAREL GROUP</t>
  </si>
  <si>
    <t>SHELL AND LINING: POLYESTER</t>
  </si>
  <si>
    <t>19781897662</t>
  </si>
  <si>
    <t>CHCO COOL 18 PRO BASIC</t>
  </si>
  <si>
    <t>HC00236</t>
  </si>
  <si>
    <t>19781897648</t>
  </si>
  <si>
    <t>738994659514</t>
  </si>
  <si>
    <t>P3 CLASSIC CREW</t>
  </si>
  <si>
    <t>RCCNH366L</t>
  </si>
  <si>
    <t>738994659538</t>
  </si>
  <si>
    <t>RCCNH3XNS</t>
  </si>
  <si>
    <t>192504028229</t>
  </si>
  <si>
    <t>EVERYDAY SUN CRUISE</t>
  </si>
  <si>
    <t>EQYKT03784</t>
  </si>
  <si>
    <t>191603944959</t>
  </si>
  <si>
    <t>MALDEN</t>
  </si>
  <si>
    <t>3LGLW1570</t>
  </si>
  <si>
    <t>191603984184</t>
  </si>
  <si>
    <t>884411089898</t>
  </si>
  <si>
    <t>706257845318</t>
  </si>
  <si>
    <t>SOLID RLXD BLT CRG R BASIC</t>
  </si>
  <si>
    <t>152302B</t>
  </si>
  <si>
    <t>706257845233</t>
  </si>
  <si>
    <t>706257845257</t>
  </si>
  <si>
    <t>706257845271</t>
  </si>
  <si>
    <t>706257845301</t>
  </si>
  <si>
    <t>706257845288</t>
  </si>
  <si>
    <t>706257845295</t>
  </si>
  <si>
    <t>706257845240</t>
  </si>
  <si>
    <t>706257845264</t>
  </si>
  <si>
    <t>19781942980</t>
  </si>
  <si>
    <t>PLN PRMM NO IRON PAN</t>
  </si>
  <si>
    <t>HC10889</t>
  </si>
  <si>
    <t>192166387627</t>
  </si>
  <si>
    <t>1/4 ZIP BUFFALO PLAID NO</t>
  </si>
  <si>
    <t>F95970ME</t>
  </si>
  <si>
    <t>732998157076</t>
  </si>
  <si>
    <t>732997708323</t>
  </si>
  <si>
    <t>732997942772</t>
  </si>
  <si>
    <t>VLVT SLM FIT PNT 2.0</t>
  </si>
  <si>
    <t>732997708422</t>
  </si>
  <si>
    <t>732997322765</t>
  </si>
  <si>
    <t>BAYLEY REPREVE STR</t>
  </si>
  <si>
    <t>100077101MN</t>
  </si>
  <si>
    <t>69% COTTON, 25% RECYCLED POLYESTER, 3% SPANDEX, 3% OTHER FIBER</t>
  </si>
  <si>
    <t>732998444923</t>
  </si>
  <si>
    <t>732998444992</t>
  </si>
  <si>
    <t>732995936421</t>
  </si>
  <si>
    <t>SHIBUI 2.0 HOODIE</t>
  </si>
  <si>
    <t>732996620923</t>
  </si>
  <si>
    <t>MERINO CREW</t>
  </si>
  <si>
    <t>100069693MN</t>
  </si>
  <si>
    <t>KHAKI</t>
  </si>
  <si>
    <t>719250336318</t>
  </si>
  <si>
    <t>BLAC LS REG BROADCLOTH</t>
  </si>
  <si>
    <t>SEAN JOHN/DESIGNER/VAN HEUSEN</t>
  </si>
  <si>
    <t>11333696198</t>
  </si>
  <si>
    <t>LS REGULAR FIT SOLID</t>
  </si>
  <si>
    <t>732997708927</t>
  </si>
  <si>
    <t>732997709047</t>
  </si>
  <si>
    <t>732997709054</t>
  </si>
  <si>
    <t>732997709078</t>
  </si>
  <si>
    <t>732997709023</t>
  </si>
  <si>
    <t>732997846360</t>
  </si>
  <si>
    <t>732998180098</t>
  </si>
  <si>
    <t>88541870726</t>
  </si>
  <si>
    <t>88541870689</t>
  </si>
  <si>
    <t>631712420536</t>
  </si>
  <si>
    <t>631712420529</t>
  </si>
  <si>
    <t>631712420727</t>
  </si>
  <si>
    <t>631712420314</t>
  </si>
  <si>
    <t>631712420307</t>
  </si>
  <si>
    <t>88541770293</t>
  </si>
  <si>
    <t>631712453558</t>
  </si>
  <si>
    <t>631712453503</t>
  </si>
  <si>
    <t>88541870795</t>
  </si>
  <si>
    <t>88541870733</t>
  </si>
  <si>
    <t>631712420482</t>
  </si>
  <si>
    <t>88541870771</t>
  </si>
  <si>
    <t>636189466216</t>
  </si>
  <si>
    <t>RICHLAND TARTAN</t>
  </si>
  <si>
    <t>732997612439</t>
  </si>
  <si>
    <t>WICKED SWEATER</t>
  </si>
  <si>
    <t>732997612385</t>
  </si>
  <si>
    <t>732996567525</t>
  </si>
  <si>
    <t>LS AARON PLAID</t>
  </si>
  <si>
    <t>732996855479</t>
  </si>
  <si>
    <t>732996855608</t>
  </si>
  <si>
    <t>732997642061</t>
  </si>
  <si>
    <t>FAIRISLE CREW</t>
  </si>
  <si>
    <t>100077003MN</t>
  </si>
  <si>
    <t>636193779715</t>
  </si>
  <si>
    <t>LS MARTIN PLAID</t>
  </si>
  <si>
    <t>100039857MN</t>
  </si>
  <si>
    <t>192611796370</t>
  </si>
  <si>
    <t>11 HBR SPORT SHORT</t>
  </si>
  <si>
    <t>DZ0349</t>
  </si>
  <si>
    <t>636193779722</t>
  </si>
  <si>
    <t>732998027478</t>
  </si>
  <si>
    <t>ANGLE BLOCKED JACKET</t>
  </si>
  <si>
    <t>732997776223</t>
  </si>
  <si>
    <t>STRIPE CASHMERE HENL</t>
  </si>
  <si>
    <t>100083970MN</t>
  </si>
  <si>
    <t>732997776230</t>
  </si>
  <si>
    <t>732996087429</t>
  </si>
  <si>
    <t>LNN STRP DRWSTRN PNT</t>
  </si>
  <si>
    <t>190178996073</t>
  </si>
  <si>
    <t>RUGGED RIDGE LS CREW</t>
  </si>
  <si>
    <t>732997149676</t>
  </si>
  <si>
    <t>TEXTURD STRIPE VNECK</t>
  </si>
  <si>
    <t>100069804MN</t>
  </si>
  <si>
    <t>888284807443</t>
  </si>
  <si>
    <t>ARMOUR HG SL T</t>
  </si>
  <si>
    <t>BODY: 5.0 OZ. 90% POLYESTER/10% ELASTANEMESH: 4.6 OZ. 88% POLYESTER/12% ELASTANEIMPORTED</t>
  </si>
  <si>
    <t>888284807504</t>
  </si>
  <si>
    <t>608381371049</t>
  </si>
  <si>
    <t>DROP NEEDLE FULL ZIP</t>
  </si>
  <si>
    <t>100038087MN</t>
  </si>
  <si>
    <t>781910666035</t>
  </si>
  <si>
    <t>WHIT LS WF REG FIT BC SOL</t>
  </si>
  <si>
    <t>30B4412</t>
  </si>
  <si>
    <t>GEOFFREY BEENE/DESIGNER/VAN HEUSEN</t>
  </si>
  <si>
    <t>732997202050</t>
  </si>
  <si>
    <t>732998186311</t>
  </si>
  <si>
    <t>BARTLEY RPSTP JOGGER BASIC</t>
  </si>
  <si>
    <t>100084876MN</t>
  </si>
  <si>
    <t>608279316336</t>
  </si>
  <si>
    <t>001 BRIEF BASIC</t>
  </si>
  <si>
    <t>NB1102</t>
  </si>
  <si>
    <t>54 REG</t>
  </si>
  <si>
    <t>732998106197</t>
  </si>
  <si>
    <t>CROSSBODY TRACK JCKT</t>
  </si>
  <si>
    <t>100082756MN</t>
  </si>
  <si>
    <t>732998106203</t>
  </si>
  <si>
    <t>732994194389</t>
  </si>
  <si>
    <t>MANTIX EDV SLM ST BASIC</t>
  </si>
  <si>
    <t>193526244383</t>
  </si>
  <si>
    <t>CLASSIC LOGO LS TEE</t>
  </si>
  <si>
    <t>731516198270</t>
  </si>
  <si>
    <t>V93159-DUELING JCLAS</t>
  </si>
  <si>
    <t>V93159</t>
  </si>
  <si>
    <t>669534990821</t>
  </si>
  <si>
    <t>STARS AND STRIPES MUSCLE</t>
  </si>
  <si>
    <t>MT192080-</t>
  </si>
  <si>
    <t>791272066787</t>
  </si>
  <si>
    <t>CURTIS POCKET TEE</t>
  </si>
  <si>
    <t>LM911325</t>
  </si>
  <si>
    <t>732997200155</t>
  </si>
  <si>
    <t>SING SWEATER</t>
  </si>
  <si>
    <t>732997517000</t>
  </si>
  <si>
    <t>889017013100</t>
  </si>
  <si>
    <t>LENNIX EDV JEAN BOOT BASIC</t>
  </si>
  <si>
    <t>61666LW540</t>
  </si>
  <si>
    <t>732997539330</t>
  </si>
  <si>
    <t>EDWIN SKINNY JEAN BASIC</t>
  </si>
  <si>
    <t>732996698830</t>
  </si>
  <si>
    <t>LS DIP DYE PLAID</t>
  </si>
  <si>
    <t>732997149720</t>
  </si>
  <si>
    <t>PLAID VEE</t>
  </si>
  <si>
    <t>100074725MN</t>
  </si>
  <si>
    <t>732997149713</t>
  </si>
  <si>
    <t>732995767506</t>
  </si>
  <si>
    <t>TANNER LIGHTWEIGHT C</t>
  </si>
  <si>
    <t>100057749MN</t>
  </si>
  <si>
    <t>732998429012</t>
  </si>
  <si>
    <t>732998429029</t>
  </si>
  <si>
    <t>193101003770</t>
  </si>
  <si>
    <t>193101003800</t>
  </si>
  <si>
    <t>732998027188</t>
  </si>
  <si>
    <t>192612506299</t>
  </si>
  <si>
    <t>RAWK D2M COOL SHO 3S</t>
  </si>
  <si>
    <t>EB3972</t>
  </si>
  <si>
    <t>192166384787</t>
  </si>
  <si>
    <t>732997201206</t>
  </si>
  <si>
    <t>636193553797</t>
  </si>
  <si>
    <t>COSIMO FIVE PKT PANT BASIC</t>
  </si>
  <si>
    <t>TASSO ELBA-EDI/GRAND HARVEST INT'L</t>
  </si>
  <si>
    <t>636193555210</t>
  </si>
  <si>
    <t>732995257526</t>
  </si>
  <si>
    <t>COSIMO FIVE PKT PANT</t>
  </si>
  <si>
    <t>732996995069</t>
  </si>
  <si>
    <t>732996995038</t>
  </si>
  <si>
    <t>732994172998</t>
  </si>
  <si>
    <t>732997686607</t>
  </si>
  <si>
    <t>732994113007</t>
  </si>
  <si>
    <t>BARKLEY JEAN BASIC</t>
  </si>
  <si>
    <t>732998210917</t>
  </si>
  <si>
    <t>LS FLCKD PASLY SHRT</t>
  </si>
  <si>
    <t>732994112512</t>
  </si>
  <si>
    <t>19781958196</t>
  </si>
  <si>
    <t>COOL PRO CLASSIC PLT SHO</t>
  </si>
  <si>
    <t>HS00439</t>
  </si>
  <si>
    <t>732997484173</t>
  </si>
  <si>
    <t>L/S STANLEY SHIRT</t>
  </si>
  <si>
    <t>732996139197</t>
  </si>
  <si>
    <t>SS TROPIC NIGHTS</t>
  </si>
  <si>
    <t>100056943MN</t>
  </si>
  <si>
    <t>26217493091</t>
  </si>
  <si>
    <t>35MM CE W ENGINE TU</t>
  </si>
  <si>
    <t>11TL02X223</t>
  </si>
  <si>
    <t>732997730027</t>
  </si>
  <si>
    <t>706254631631</t>
  </si>
  <si>
    <t>HUDS SOLID RLXD BLT CRG BASIC</t>
  </si>
  <si>
    <t>152302HDS</t>
  </si>
  <si>
    <t>732997484142</t>
  </si>
  <si>
    <t>749194379645</t>
  </si>
  <si>
    <t>FEEDER STRIPE JERSEY</t>
  </si>
  <si>
    <t>40ZK302</t>
  </si>
  <si>
    <t>732998300724</t>
  </si>
  <si>
    <t>LS TYLER WESTERN BASIC</t>
  </si>
  <si>
    <t>100083119MN</t>
  </si>
  <si>
    <t>732996629490</t>
  </si>
  <si>
    <t>LS IF KURT SHIRT BASIC</t>
  </si>
  <si>
    <t>732996629513</t>
  </si>
  <si>
    <t>732998035473</t>
  </si>
  <si>
    <t>749194545170</t>
  </si>
  <si>
    <t>SS CREW NECK</t>
  </si>
  <si>
    <t>40M6302</t>
  </si>
  <si>
    <t>732997412770</t>
  </si>
  <si>
    <t>732998030553</t>
  </si>
  <si>
    <t>732996852522</t>
  </si>
  <si>
    <t>CREW NECK SWEATER</t>
  </si>
  <si>
    <t>100064347MN</t>
  </si>
  <si>
    <t>100% SUPIMA COTTON</t>
  </si>
  <si>
    <t>732997292280</t>
  </si>
  <si>
    <t>SS ABSTRCT CAMO SHRT</t>
  </si>
  <si>
    <t>706257341889</t>
  </si>
  <si>
    <t>889282119927</t>
  </si>
  <si>
    <t>BLUE WINDOW PANE</t>
  </si>
  <si>
    <t>NTS614NI24</t>
  </si>
  <si>
    <t>26414708325</t>
  </si>
  <si>
    <t>SATIN SOLID BT/PS BASIC</t>
  </si>
  <si>
    <t>AF00510322</t>
  </si>
  <si>
    <t>192564290772</t>
  </si>
  <si>
    <t>TECH GRAPHIC SHORT</t>
  </si>
  <si>
    <t>192564290734</t>
  </si>
  <si>
    <t>15712003232</t>
  </si>
  <si>
    <t>OLD ENGLISH</t>
  </si>
  <si>
    <t>1P36016</t>
  </si>
  <si>
    <t>692050952059</t>
  </si>
  <si>
    <t>COLTON BOOTCUT JEAN BASIC</t>
  </si>
  <si>
    <t>18514MB436</t>
  </si>
  <si>
    <t>ALFANI-EDI/RWI/GHIM LI</t>
  </si>
  <si>
    <t>732996993232</t>
  </si>
  <si>
    <t>METAL PRINT SHORT</t>
  </si>
  <si>
    <t>603679457931</t>
  </si>
  <si>
    <t>3 PACK MICRO BOXER BRIEF</t>
  </si>
  <si>
    <t>732997688137</t>
  </si>
  <si>
    <t>LS HOPKINS PLAID</t>
  </si>
  <si>
    <t>100076899MN</t>
  </si>
  <si>
    <t>732996993713</t>
  </si>
  <si>
    <t>OMBRE CHVN JACQ POLO</t>
  </si>
  <si>
    <t>732996993676</t>
  </si>
  <si>
    <t>732996993720</t>
  </si>
  <si>
    <t>732997887158</t>
  </si>
  <si>
    <t>732997887189</t>
  </si>
  <si>
    <t>732997269138</t>
  </si>
  <si>
    <t>TIPPED LS CREW</t>
  </si>
  <si>
    <t>100064296MN</t>
  </si>
  <si>
    <t>732997269169</t>
  </si>
  <si>
    <t>19783082844</t>
  </si>
  <si>
    <t>JMH LUXURY CMFRT</t>
  </si>
  <si>
    <t>HC00355</t>
  </si>
  <si>
    <t>732997687079</t>
  </si>
  <si>
    <t>LS GABE PLAID</t>
  </si>
  <si>
    <t>100074633MN</t>
  </si>
  <si>
    <t>732997687062</t>
  </si>
  <si>
    <t>15712016089</t>
  </si>
  <si>
    <t>LINKS BRAID</t>
  </si>
  <si>
    <t>1P86105</t>
  </si>
  <si>
    <t>732997117781</t>
  </si>
  <si>
    <t>PIMA ARGYLE 1/4 ZIP</t>
  </si>
  <si>
    <t>100062528MN</t>
  </si>
  <si>
    <t>191603972808</t>
  </si>
  <si>
    <t>732996398907</t>
  </si>
  <si>
    <t>732996993577</t>
  </si>
  <si>
    <t>ROADMAP STRIPE POLO</t>
  </si>
  <si>
    <t>732997252758</t>
  </si>
  <si>
    <t>LS JAMES LIN DOBBY</t>
  </si>
  <si>
    <t>100079373MN</t>
  </si>
  <si>
    <t>732996930718</t>
  </si>
  <si>
    <t>732996930893</t>
  </si>
  <si>
    <t>732996996103</t>
  </si>
  <si>
    <t>5 IRON PRO TECH HTHR</t>
  </si>
  <si>
    <t>732997117286</t>
  </si>
  <si>
    <t>732997117125</t>
  </si>
  <si>
    <t>732997888407</t>
  </si>
  <si>
    <t>LS HARRELL CHCK SHRT</t>
  </si>
  <si>
    <t>732997797112</t>
  </si>
  <si>
    <t>SPA SQUARE TILE PT</t>
  </si>
  <si>
    <t>100078713MN</t>
  </si>
  <si>
    <t>732997887370</t>
  </si>
  <si>
    <t>SS TANNER PLAID</t>
  </si>
  <si>
    <t>100075069MN</t>
  </si>
  <si>
    <t>732997456415</t>
  </si>
  <si>
    <t>732997456422</t>
  </si>
  <si>
    <t>608381965477</t>
  </si>
  <si>
    <t>SP BIG WHITE PPT SD BASIC</t>
  </si>
  <si>
    <t>732998007821</t>
  </si>
  <si>
    <t>732998042907</t>
  </si>
  <si>
    <t>608381253758</t>
  </si>
  <si>
    <t>26414709971</t>
  </si>
  <si>
    <t>SEACREST SOLID</t>
  </si>
  <si>
    <t>RS20110065</t>
  </si>
  <si>
    <t>706255915822</t>
  </si>
  <si>
    <t>CAMO JCQD POLO</t>
  </si>
  <si>
    <t>732994734974</t>
  </si>
  <si>
    <t>KNITS SOLID KNIT</t>
  </si>
  <si>
    <t>100050052MN</t>
  </si>
  <si>
    <t>732997797099</t>
  </si>
  <si>
    <t>732997797037</t>
  </si>
  <si>
    <t>732997797068</t>
  </si>
  <si>
    <t>84971857672</t>
  </si>
  <si>
    <t>CHOC 32MM SOFT TURBULAR</t>
  </si>
  <si>
    <t>1P35114</t>
  </si>
  <si>
    <t>732998023210</t>
  </si>
  <si>
    <t>732998362098</t>
  </si>
  <si>
    <t>767672727931</t>
  </si>
  <si>
    <t>CARBON PLAITED JERSEY HE</t>
  </si>
  <si>
    <t>732998362135</t>
  </si>
  <si>
    <t>732996219387</t>
  </si>
  <si>
    <t>732996941394</t>
  </si>
  <si>
    <t>LS ODEN PLAID</t>
  </si>
  <si>
    <t>100069920MN</t>
  </si>
  <si>
    <t>726895478761</t>
  </si>
  <si>
    <t>726895478457</t>
  </si>
  <si>
    <t>732996448404</t>
  </si>
  <si>
    <t>VENEZIA BKN TWL SHRT</t>
  </si>
  <si>
    <t>100068229MN</t>
  </si>
  <si>
    <t>732996448411</t>
  </si>
  <si>
    <t>732996448381</t>
  </si>
  <si>
    <t>732996448398</t>
  </si>
  <si>
    <t>732996448442</t>
  </si>
  <si>
    <t>732996448459</t>
  </si>
  <si>
    <t>732996448428</t>
  </si>
  <si>
    <t>732996448435</t>
  </si>
  <si>
    <t>732998112457</t>
  </si>
  <si>
    <t>732997786598</t>
  </si>
  <si>
    <t>VELOUR LS POLO</t>
  </si>
  <si>
    <t>100073509MN</t>
  </si>
  <si>
    <t>732997786635</t>
  </si>
  <si>
    <t>732994727389</t>
  </si>
  <si>
    <t>MAXR VINE FLORAL</t>
  </si>
  <si>
    <t>100049553MN</t>
  </si>
  <si>
    <t>682875281946</t>
  </si>
  <si>
    <t>PIN PIN DOT</t>
  </si>
  <si>
    <t>732997124697</t>
  </si>
  <si>
    <t>RHO MEDALLION PRINT</t>
  </si>
  <si>
    <t>756500220812</t>
  </si>
  <si>
    <t>LINEAR HEX-DOT</t>
  </si>
  <si>
    <t>K7994442</t>
  </si>
  <si>
    <t>ALL WOVEN SILK</t>
  </si>
  <si>
    <t>682875865276</t>
  </si>
  <si>
    <t>PREPPY SEERSUCKER</t>
  </si>
  <si>
    <t>682875404444</t>
  </si>
  <si>
    <t>756500871113</t>
  </si>
  <si>
    <t>682875282028</t>
  </si>
  <si>
    <t>756500168336</t>
  </si>
  <si>
    <t>PREPPY DOT</t>
  </si>
  <si>
    <t>RYAL BLUE BIG CHK</t>
  </si>
  <si>
    <t>886602186461</t>
  </si>
  <si>
    <t>RUST COMFORT CARGO</t>
  </si>
  <si>
    <t>192290870323</t>
  </si>
  <si>
    <t>SUPER BACKCAST WATER</t>
  </si>
  <si>
    <t>608381269650</t>
  </si>
  <si>
    <t>MATRIX JEAN SKNY BASIC</t>
  </si>
  <si>
    <t>883498023351</t>
  </si>
  <si>
    <t>THFLX TWIL RED PLAIN</t>
  </si>
  <si>
    <t>TTEAPH1A0022</t>
  </si>
  <si>
    <t>38X29</t>
  </si>
  <si>
    <t>792179722462</t>
  </si>
  <si>
    <t>TIE DYE BUCKET</t>
  </si>
  <si>
    <t>K4359</t>
  </si>
  <si>
    <t>KANGOL/BOLLMAN HAT CO - CONSIGNMENT</t>
  </si>
  <si>
    <t>191603984825</t>
  </si>
  <si>
    <t>735991723583</t>
  </si>
  <si>
    <t>STEEL SLIM FIT</t>
  </si>
  <si>
    <t>33K3583</t>
  </si>
  <si>
    <t>732997943502</t>
  </si>
  <si>
    <t>POP CLR WNDWPN SLM P</t>
  </si>
  <si>
    <t>732997846636</t>
  </si>
  <si>
    <t>39307030496</t>
  </si>
  <si>
    <t>884411089973</t>
  </si>
  <si>
    <t>191603985020</t>
  </si>
  <si>
    <t>90464626236</t>
  </si>
  <si>
    <t>POLO BLACK PONY</t>
  </si>
  <si>
    <t>SMF1177ARL</t>
  </si>
  <si>
    <t>11</t>
  </si>
  <si>
    <t>POLO SLIPPERS/SG FOOTWEAR-MESSER</t>
  </si>
  <si>
    <t>MAN-MADE UPPER; RUBBER SOLE</t>
  </si>
  <si>
    <t>732997599631</t>
  </si>
  <si>
    <t>11333934122</t>
  </si>
  <si>
    <t>BAND STRIPE RASCHELL SCA</t>
  </si>
  <si>
    <t>1CK0114</t>
  </si>
  <si>
    <t>706257494912</t>
  </si>
  <si>
    <t>TAUP CHAMBRAY PANT</t>
  </si>
  <si>
    <t>61404TAUPE</t>
  </si>
  <si>
    <t>11333936690</t>
  </si>
  <si>
    <t>1CK0601</t>
  </si>
  <si>
    <t>884411397658</t>
  </si>
  <si>
    <t>HERE COMES</t>
  </si>
  <si>
    <t>2MBT0531</t>
  </si>
  <si>
    <t>192660282435</t>
  </si>
  <si>
    <t>BACKCAST III WATER S</t>
  </si>
  <si>
    <t>192660282350</t>
  </si>
  <si>
    <t>192660282411</t>
  </si>
  <si>
    <t>732997709030</t>
  </si>
  <si>
    <t>732997846605</t>
  </si>
  <si>
    <t>732997846582</t>
  </si>
  <si>
    <t>5057101955680</t>
  </si>
  <si>
    <t>O L ENGD SLVE BASEB</t>
  </si>
  <si>
    <t>193145140097</t>
  </si>
  <si>
    <t>CSCB M NK DRY ICON SHORT</t>
  </si>
  <si>
    <t>AJ3914</t>
  </si>
  <si>
    <t>631712420680</t>
  </si>
  <si>
    <t>LS REG FLEX BUFFALO CHEC</t>
  </si>
  <si>
    <t>20F6625</t>
  </si>
  <si>
    <t>631712420284</t>
  </si>
  <si>
    <t>20F6617</t>
  </si>
  <si>
    <t>631712499303</t>
  </si>
  <si>
    <t>631712453459</t>
  </si>
  <si>
    <t>631712499280</t>
  </si>
  <si>
    <t>88541868877</t>
  </si>
  <si>
    <t>631712499396</t>
  </si>
  <si>
    <t>631712453466</t>
  </si>
  <si>
    <t>631712420376</t>
  </si>
  <si>
    <t>192166407349</t>
  </si>
  <si>
    <t>WAFFLE HOOD</t>
  </si>
  <si>
    <t>F930249ME</t>
  </si>
  <si>
    <t>192166390832</t>
  </si>
  <si>
    <t>LS ED INDIGO YD DARK PLA</t>
  </si>
  <si>
    <t>F985088ME</t>
  </si>
  <si>
    <t>732998031703</t>
  </si>
  <si>
    <t>732997457078</t>
  </si>
  <si>
    <t>PAINT SPLATTER CREW</t>
  </si>
  <si>
    <t>100074729MN</t>
  </si>
  <si>
    <t>192166386088</t>
  </si>
  <si>
    <t>LS BRUSHED BD ANTIQUE FL</t>
  </si>
  <si>
    <t>F985027ME</t>
  </si>
  <si>
    <t>732998358350</t>
  </si>
  <si>
    <t>DAMIEN MIXED MEDIA S BASIC</t>
  </si>
  <si>
    <t>100084653MN</t>
  </si>
  <si>
    <t>192531413432</t>
  </si>
  <si>
    <t>360 SHORT</t>
  </si>
  <si>
    <t>DOCKERS SHORTS/LEVI STRAUSS</t>
  </si>
  <si>
    <t>608381099189</t>
  </si>
  <si>
    <t>SS ZAPP PRINT</t>
  </si>
  <si>
    <t>100038059MN</t>
  </si>
  <si>
    <t>732997516867</t>
  </si>
  <si>
    <t>STITCH SHAWL SWEATER</t>
  </si>
  <si>
    <t>100066850MN</t>
  </si>
  <si>
    <t>732998428985</t>
  </si>
  <si>
    <t>732998429036</t>
  </si>
  <si>
    <t>732998428954</t>
  </si>
  <si>
    <t>732998428930</t>
  </si>
  <si>
    <t>732997083970</t>
  </si>
  <si>
    <t>JAYSON SWEATER</t>
  </si>
  <si>
    <t>SHELL: COTTON; TRIM: FAUX LEATHER</t>
  </si>
  <si>
    <t>732998027065</t>
  </si>
  <si>
    <t>ANGLE BLOCKED PANT</t>
  </si>
  <si>
    <t>193101003763</t>
  </si>
  <si>
    <t>192612492851</t>
  </si>
  <si>
    <t>GRY/ORANGE D2M 10" SHORT</t>
  </si>
  <si>
    <t>EB3971</t>
  </si>
  <si>
    <t>79402163095</t>
  </si>
  <si>
    <t>FAUX WOOLEN GABRI M</t>
  </si>
  <si>
    <t>XL</t>
  </si>
  <si>
    <t>MANMADE UPPER/RUBBER SOLE</t>
  </si>
  <si>
    <t>732997406601</t>
  </si>
  <si>
    <t>PIPING TRACK PANT</t>
  </si>
  <si>
    <t>27556312401</t>
  </si>
  <si>
    <t>GRAPHIC S/S SWIM TEE</t>
  </si>
  <si>
    <t>748041M</t>
  </si>
  <si>
    <t>MENS SWIMWEAR</t>
  </si>
  <si>
    <t>SPEEDO-AUTHENTIC FITNESS</t>
  </si>
  <si>
    <t>732996536477</t>
  </si>
  <si>
    <t>LS FRANKIE CAMO</t>
  </si>
  <si>
    <t>100074904MN</t>
  </si>
  <si>
    <t>193146567657</t>
  </si>
  <si>
    <t>BONSAI GREEN M NK DRY TEE SC B</t>
  </si>
  <si>
    <t>BV8263</t>
  </si>
  <si>
    <t>193147879254</t>
  </si>
  <si>
    <t>BLACK JDI HBR S/S GRAPHIC T</t>
  </si>
  <si>
    <t>BV7662</t>
  </si>
  <si>
    <t>193150685071</t>
  </si>
  <si>
    <t>M NK DRY TEE DFCT 2Y</t>
  </si>
  <si>
    <t>AR5968</t>
  </si>
  <si>
    <t>193147879575</t>
  </si>
  <si>
    <t>PHOTOBLUE JDI HBR S/S GRAP TEE</t>
  </si>
  <si>
    <t>732997837672</t>
  </si>
  <si>
    <t>LS ANISTON CHECK</t>
  </si>
  <si>
    <t>14108LSW</t>
  </si>
  <si>
    <t>732996851860</t>
  </si>
  <si>
    <t>732998411789</t>
  </si>
  <si>
    <t>CAMO BLCKD SLUB HOOD BASIC</t>
  </si>
  <si>
    <t>732998122555</t>
  </si>
  <si>
    <t>LEAF LINES PRINT</t>
  </si>
  <si>
    <t>100082918MN</t>
  </si>
  <si>
    <t>732994008822</t>
  </si>
  <si>
    <t>732998034810</t>
  </si>
  <si>
    <t>631712453077</t>
  </si>
  <si>
    <t>LS REG FLEX CHECK PRPL</t>
  </si>
  <si>
    <t>20F6668</t>
  </si>
  <si>
    <t>631712452919</t>
  </si>
  <si>
    <t>192166374238</t>
  </si>
  <si>
    <t>WAFFLE CREW</t>
  </si>
  <si>
    <t>F930246ME</t>
  </si>
  <si>
    <t>723261961551</t>
  </si>
  <si>
    <t>FLIP FLOP GIFT</t>
  </si>
  <si>
    <t>FMS1231GOP</t>
  </si>
  <si>
    <t>PENGUIN/SG FOOTWEAR/MESSER GROUP</t>
  </si>
  <si>
    <t>MANMADE UPPER/SOLE; BAG: NYLON</t>
  </si>
  <si>
    <t>723261972182</t>
  </si>
  <si>
    <t>706254564465</t>
  </si>
  <si>
    <t>FAIRWAY CARGO SHORT</t>
  </si>
  <si>
    <t>100037727MN</t>
  </si>
  <si>
    <t>706254564458</t>
  </si>
  <si>
    <t>706254564489</t>
  </si>
  <si>
    <t>889282121104</t>
  </si>
  <si>
    <t>BLAC FINE LINE STRIPE BASIC</t>
  </si>
  <si>
    <t>NTS417NG32</t>
  </si>
  <si>
    <t>MED TL/LG</t>
  </si>
  <si>
    <t>NICK GRAHAM CLOTHING COMPANY LLC</t>
  </si>
  <si>
    <t>COTTON/POLYESTER TIE: POLYESTER</t>
  </si>
  <si>
    <t>192810777675</t>
  </si>
  <si>
    <t>UA TECH 2.0 SS TEE N</t>
  </si>
  <si>
    <t>22653640372</t>
  </si>
  <si>
    <t>MINI BOX CORD W/LACING</t>
  </si>
  <si>
    <t>MAN-MADE UPPER; MAN-MADE LINING; RUBBER SOLE</t>
  </si>
  <si>
    <t>194194028503</t>
  </si>
  <si>
    <t>HERRINGBONE LOGAN M</t>
  </si>
  <si>
    <t>XX</t>
  </si>
  <si>
    <t>MAN-MADE UPPER, RUBBER SOLE</t>
  </si>
  <si>
    <t>732996335551</t>
  </si>
  <si>
    <t>SS WASHED BANARAMA</t>
  </si>
  <si>
    <t>100061363MN</t>
  </si>
  <si>
    <t>732998459293</t>
  </si>
  <si>
    <t>DOCTOR TEE</t>
  </si>
  <si>
    <t>191603972822</t>
  </si>
  <si>
    <t>191603972778</t>
  </si>
  <si>
    <t>CRIM MARCI SS POLO</t>
  </si>
  <si>
    <t>191764280866</t>
  </si>
  <si>
    <t>DRS BLU MARCI SS POLO</t>
  </si>
  <si>
    <t>732996398952</t>
  </si>
  <si>
    <t>INDIGO HENLEY</t>
  </si>
  <si>
    <t>100060786MN</t>
  </si>
  <si>
    <t>732998417484</t>
  </si>
  <si>
    <t>LS ASH STRIPE BASIC</t>
  </si>
  <si>
    <t>100084970MN</t>
  </si>
  <si>
    <t>732996995564</t>
  </si>
  <si>
    <t>5 IRON PRO-TECH PANT</t>
  </si>
  <si>
    <t>732996995601</t>
  </si>
  <si>
    <t>732996995595</t>
  </si>
  <si>
    <t>732996804163</t>
  </si>
  <si>
    <t>732997116913</t>
  </si>
  <si>
    <t>PIMA CABLE 1/4 ZIP</t>
  </si>
  <si>
    <t>100062527MN</t>
  </si>
  <si>
    <t>100% PIMA COTTON</t>
  </si>
  <si>
    <t>732996354552</t>
  </si>
  <si>
    <t>SS MACK PLAID</t>
  </si>
  <si>
    <t>100061364MN</t>
  </si>
  <si>
    <t>732998007845</t>
  </si>
  <si>
    <t>SALERNO DOBBY</t>
  </si>
  <si>
    <t>100075843MN</t>
  </si>
  <si>
    <t>732998042891</t>
  </si>
  <si>
    <t>732998042884</t>
  </si>
  <si>
    <t>732994430333</t>
  </si>
  <si>
    <t>REYES HTR KJ REPLEN BASIC</t>
  </si>
  <si>
    <t>100041709MN</t>
  </si>
  <si>
    <t>COTTON/POLYESTER; FRONT PANEL: POLYESTER</t>
  </si>
  <si>
    <t>732994430296</t>
  </si>
  <si>
    <t>26414687972</t>
  </si>
  <si>
    <t>GRAY WARWICK GINGHAM</t>
  </si>
  <si>
    <t>26414757576</t>
  </si>
  <si>
    <t>193671007352</t>
  </si>
  <si>
    <t>732996354613</t>
  </si>
  <si>
    <t>SS TAYLOR PLAID</t>
  </si>
  <si>
    <t>100061700MN</t>
  </si>
  <si>
    <t>732997797044</t>
  </si>
  <si>
    <t>SPS OUTLINED CUBE PT</t>
  </si>
  <si>
    <t>100063418MN</t>
  </si>
  <si>
    <t>732997797075</t>
  </si>
  <si>
    <t>732997797082</t>
  </si>
  <si>
    <t>732998023180</t>
  </si>
  <si>
    <t>TEXT CRICKET SWEATER</t>
  </si>
  <si>
    <t>100082745MN</t>
  </si>
  <si>
    <t>732998023159</t>
  </si>
  <si>
    <t>23572521896</t>
  </si>
  <si>
    <t>NEW NYLON MESSENGER</t>
  </si>
  <si>
    <t>KEN COLE REACTION BACKPACK/HERTIAGE</t>
  </si>
  <si>
    <t>726895478471</t>
  </si>
  <si>
    <t>726895478501</t>
  </si>
  <si>
    <t>732997843109</t>
  </si>
  <si>
    <t>LS SOLID CORD</t>
  </si>
  <si>
    <t>100074002MN</t>
  </si>
  <si>
    <t>732998168560</t>
  </si>
  <si>
    <t>GEO STATIC PRINT</t>
  </si>
  <si>
    <t>100069292MN</t>
  </si>
  <si>
    <t>682875872946</t>
  </si>
  <si>
    <t>BICOLOR ARROW</t>
  </si>
  <si>
    <t>7K991301</t>
  </si>
  <si>
    <t>756500215436</t>
  </si>
  <si>
    <t>HOLLY MID CHECK</t>
  </si>
  <si>
    <t>K7994429</t>
  </si>
  <si>
    <t>682875917937</t>
  </si>
  <si>
    <t>888987452261</t>
  </si>
  <si>
    <t>732996675091</t>
  </si>
  <si>
    <t>732998168454</t>
  </si>
  <si>
    <t>LS NEO LIGHTS PRINT</t>
  </si>
  <si>
    <t>100075422MN</t>
  </si>
  <si>
    <t>732998168478</t>
  </si>
  <si>
    <t>726895172881</t>
  </si>
  <si>
    <t>CARGO SHORT</t>
  </si>
  <si>
    <t>732998168508</t>
  </si>
  <si>
    <t>LS PRISMA LIGHTS</t>
  </si>
  <si>
    <t>100073994MN</t>
  </si>
  <si>
    <t>732998168515</t>
  </si>
  <si>
    <t>840903051811</t>
  </si>
  <si>
    <t>COLORBLOCK SCARF</t>
  </si>
  <si>
    <t>MH-188</t>
  </si>
  <si>
    <t>732998112587</t>
  </si>
  <si>
    <t>LS BLURRED GLASS PRI</t>
  </si>
  <si>
    <t>100073990MN</t>
  </si>
  <si>
    <t>640013534682</t>
  </si>
  <si>
    <t>640013381934</t>
  </si>
  <si>
    <t>640013381910</t>
  </si>
  <si>
    <t>640013381989</t>
  </si>
  <si>
    <t>640013534705</t>
  </si>
  <si>
    <t>640013381965</t>
  </si>
  <si>
    <t>640013534699</t>
  </si>
  <si>
    <t>640013504265</t>
  </si>
  <si>
    <t>640013504241</t>
  </si>
  <si>
    <t>640013381958</t>
  </si>
  <si>
    <t>732995388312</t>
  </si>
  <si>
    <t>ALFATECH SHORT</t>
  </si>
  <si>
    <t>100056388MN</t>
  </si>
  <si>
    <t>732995388206</t>
  </si>
  <si>
    <t>732995388176</t>
  </si>
  <si>
    <t>689439211548</t>
  </si>
  <si>
    <t>CHEST BLOCKED POLO</t>
  </si>
  <si>
    <t>100038066MN</t>
  </si>
  <si>
    <t>603679436530</t>
  </si>
  <si>
    <t>732998022909</t>
  </si>
  <si>
    <t>DBL CHEST STRIPE SWT</t>
  </si>
  <si>
    <t>100082747MN</t>
  </si>
  <si>
    <t>689439520428</t>
  </si>
  <si>
    <t>732997250815</t>
  </si>
  <si>
    <t>LS WARREN SLUB SOLID</t>
  </si>
  <si>
    <t>884411347646</t>
  </si>
  <si>
    <t>732994170215</t>
  </si>
  <si>
    <t>SFR WHT PINPOINT SLD BASIC</t>
  </si>
  <si>
    <t>100027407MN</t>
  </si>
  <si>
    <t>726895601381</t>
  </si>
  <si>
    <t>732997451298</t>
  </si>
  <si>
    <t>PROMO HOODIE</t>
  </si>
  <si>
    <t>732997451342</t>
  </si>
  <si>
    <t>636189577264</t>
  </si>
  <si>
    <t>756500190870</t>
  </si>
  <si>
    <t>CHECKERBOARD GEO</t>
  </si>
  <si>
    <t>M6994319</t>
  </si>
  <si>
    <t>756500189584</t>
  </si>
  <si>
    <t>HI-LOW SOLID</t>
  </si>
  <si>
    <t>M6994212</t>
  </si>
  <si>
    <t>682875394677</t>
  </si>
  <si>
    <t>SPECLE SOLID</t>
  </si>
  <si>
    <t>M6984206</t>
  </si>
  <si>
    <t>756500192089</t>
  </si>
  <si>
    <t>IRIDESCENT SIMPLE STRIPE</t>
  </si>
  <si>
    <t>M6994430</t>
  </si>
  <si>
    <t>732996551180</t>
  </si>
  <si>
    <t>BDR DOUBLE GINGHAM</t>
  </si>
  <si>
    <t>100020537MN</t>
  </si>
  <si>
    <t>756500194267</t>
  </si>
  <si>
    <t>ADAM CHECK</t>
  </si>
  <si>
    <t>M6994540</t>
  </si>
  <si>
    <t>756500194250</t>
  </si>
  <si>
    <t>756500194540</t>
  </si>
  <si>
    <t>TURNING POINT PLAID</t>
  </si>
  <si>
    <t>M6994542</t>
  </si>
  <si>
    <t>WOVEN POLYESTER/VISCOSE/SILK</t>
  </si>
  <si>
    <t>756500189775</t>
  </si>
  <si>
    <t>MICRO CHECKERBOARD</t>
  </si>
  <si>
    <t>M6994214</t>
  </si>
  <si>
    <t>WOVEN POLYESTER/SILK</t>
  </si>
  <si>
    <t>636189909720</t>
  </si>
  <si>
    <t>SP ENE WINDOWPANE</t>
  </si>
  <si>
    <t>732998307884</t>
  </si>
  <si>
    <t>SYDNEY TEE</t>
  </si>
  <si>
    <t>726895641806</t>
  </si>
  <si>
    <t>GOLD LEAF TEE BASIC</t>
  </si>
  <si>
    <t>7N834540</t>
  </si>
  <si>
    <t>732996673844</t>
  </si>
  <si>
    <t>SPR REGI PIN STRIPE</t>
  </si>
  <si>
    <t>100063407MN</t>
  </si>
  <si>
    <t>732998111856</t>
  </si>
  <si>
    <t>SS GRYFFIN LINE PRIN</t>
  </si>
  <si>
    <t>100074009MN</t>
  </si>
  <si>
    <t>89467055372</t>
  </si>
  <si>
    <t>89467054832</t>
  </si>
  <si>
    <t>LS SATEEN NO IRON PT</t>
  </si>
  <si>
    <t>26W5478</t>
  </si>
  <si>
    <t>732997166383</t>
  </si>
  <si>
    <t>RIGID TEE</t>
  </si>
  <si>
    <t>RAYON/POLYESTER/SPANDEX</t>
  </si>
  <si>
    <t>732994945486</t>
  </si>
  <si>
    <t>4 PACK BLACK WHITE</t>
  </si>
  <si>
    <t>100051765MN</t>
  </si>
  <si>
    <t>COTTON/POLYESTER/SPANDEX/OTHER (EXCLUSIVE OF ELASTIC)</t>
  </si>
  <si>
    <t>732994945479</t>
  </si>
  <si>
    <t>4 PACK GREY PINK</t>
  </si>
  <si>
    <t>100051764MN</t>
  </si>
  <si>
    <t>732997450925</t>
  </si>
  <si>
    <t>PROMO OPEN CUFF PANT</t>
  </si>
  <si>
    <t>100073682MN</t>
  </si>
  <si>
    <t>732995171969</t>
  </si>
  <si>
    <t>766380836973</t>
  </si>
  <si>
    <t>15322NN436</t>
  </si>
  <si>
    <t>732998112082</t>
  </si>
  <si>
    <t>SS WARREN SOLID - YD</t>
  </si>
  <si>
    <t>79402219891</t>
  </si>
  <si>
    <t>MICROTERRY JARED M</t>
  </si>
  <si>
    <t>9F163</t>
  </si>
  <si>
    <t>MANMADE UPPER; MANMADE SOLE</t>
  </si>
  <si>
    <t>840903051699</t>
  </si>
  <si>
    <t>WAFFLE KNIT BEANIE</t>
  </si>
  <si>
    <t>MH-163</t>
  </si>
  <si>
    <t>840903051767</t>
  </si>
  <si>
    <t>ROLL BEANIE W/STRIPES</t>
  </si>
  <si>
    <t>MH-205R1</t>
  </si>
  <si>
    <t>840903051774</t>
  </si>
  <si>
    <t>BLK AND WHT CAMO BEANIE</t>
  </si>
  <si>
    <t>MH-220</t>
  </si>
  <si>
    <t>732997009451</t>
  </si>
  <si>
    <t>732996798950</t>
  </si>
  <si>
    <t>STEWART PAISLEY</t>
  </si>
  <si>
    <t>689439427659</t>
  </si>
  <si>
    <t>732997718964</t>
  </si>
  <si>
    <t>BARRETT NEAT</t>
  </si>
  <si>
    <t>732995166224</t>
  </si>
  <si>
    <t>SOLID TEXTURE BASIC</t>
  </si>
  <si>
    <t>732996792170</t>
  </si>
  <si>
    <t>732995982909</t>
  </si>
  <si>
    <t>HOOVER GEO</t>
  </si>
  <si>
    <t>732996791890</t>
  </si>
  <si>
    <t>MARTIN GEO</t>
  </si>
  <si>
    <t>732996792248</t>
  </si>
  <si>
    <t>VENDETTA GRID</t>
  </si>
  <si>
    <t>732995982848</t>
  </si>
  <si>
    <t>732996791906</t>
  </si>
  <si>
    <t>884411585765</t>
  </si>
  <si>
    <t>884411554907</t>
  </si>
  <si>
    <t>STARWARS LOGO RED FONT</t>
  </si>
  <si>
    <t>2SWC4547</t>
  </si>
  <si>
    <t>884411585925</t>
  </si>
  <si>
    <t>THE GROUP</t>
  </si>
  <si>
    <t>2DNY4973</t>
  </si>
  <si>
    <t>732997444160</t>
  </si>
  <si>
    <t>ALFANI GIFT SET</t>
  </si>
  <si>
    <t>100076652MN</t>
  </si>
  <si>
    <t>732997332085</t>
  </si>
  <si>
    <t>CABLE SWEATER VEST</t>
  </si>
  <si>
    <t>100062526MN</t>
  </si>
  <si>
    <t>716068623524</t>
  </si>
  <si>
    <t>PINK FLOYD</t>
  </si>
  <si>
    <t>PNK0194-501BLK</t>
  </si>
  <si>
    <t>26217672182</t>
  </si>
  <si>
    <t>26217513676</t>
  </si>
  <si>
    <t>ROLL COLLAR W SHERP</t>
  </si>
  <si>
    <t>71WT670050</t>
  </si>
  <si>
    <t>23616356989</t>
  </si>
  <si>
    <t>MENS MOISTURE CONTROL B</t>
  </si>
  <si>
    <t>RCS700MUSAS24PR</t>
  </si>
  <si>
    <t>COLUMBIA/DELTA GALIL USA INC</t>
  </si>
  <si>
    <t>BODY, MESH: POLYESTER/COTTON/OLEFIN/RUBBER/RAYON/SPANDEX</t>
  </si>
  <si>
    <t>640013805225</t>
  </si>
  <si>
    <t>ACID PALM TANK</t>
  </si>
  <si>
    <t>UY119731</t>
  </si>
  <si>
    <t>732995633962</t>
  </si>
  <si>
    <t>CORE MESH BACK TEE</t>
  </si>
  <si>
    <t>732995633986</t>
  </si>
  <si>
    <t>MED ORANGE</t>
  </si>
  <si>
    <t>732998398165</t>
  </si>
  <si>
    <t>AIDEN PCD PATCH PKT BASIC</t>
  </si>
  <si>
    <t>SUN + STONE-MMG/PACIFIC TXTL &amp; SRC</t>
  </si>
  <si>
    <t>732998398158</t>
  </si>
  <si>
    <t>732998398172</t>
  </si>
  <si>
    <t>883096876977</t>
  </si>
  <si>
    <t>PAISLEY 4 PK</t>
  </si>
  <si>
    <t>3661S</t>
  </si>
  <si>
    <t>883096732846</t>
  </si>
  <si>
    <t>4 PK HOLIDAY ARGYLE NAVY</t>
  </si>
  <si>
    <t>3602F</t>
  </si>
  <si>
    <t>POLYESTER/COTTON/NYLON/SPANDEX</t>
  </si>
  <si>
    <t>732998399063</t>
  </si>
  <si>
    <t>DEVIN CNTST CHN STCH BASIC</t>
  </si>
  <si>
    <t>732998399056</t>
  </si>
  <si>
    <t>732998399018</t>
  </si>
  <si>
    <t>BLAIR CNTRST NK STCH BASIC</t>
  </si>
  <si>
    <t>COTTON/REPREVE RECYCLED POLYESTER</t>
  </si>
  <si>
    <t>732997746448</t>
  </si>
  <si>
    <t>OUTDOOR NEP TEE</t>
  </si>
  <si>
    <t>100082377MN</t>
  </si>
  <si>
    <t>732997868690</t>
  </si>
  <si>
    <t>888394079976</t>
  </si>
  <si>
    <t>EVERCAT #1 BEANIE</t>
  </si>
  <si>
    <t>PV1654</t>
  </si>
  <si>
    <t>PUMA WHEAT/PUMA UNITED NORTH AMERIC</t>
  </si>
  <si>
    <t>636202333648</t>
  </si>
  <si>
    <t>SOLID SPLIT CREW BASIC</t>
  </si>
  <si>
    <t>18600DB436</t>
  </si>
  <si>
    <t>732995135169</t>
  </si>
  <si>
    <t>732997444139</t>
  </si>
  <si>
    <t>716106841507</t>
  </si>
  <si>
    <t>MENS SUPERLITE STRIPE 3-</t>
  </si>
  <si>
    <t>5144574A</t>
  </si>
  <si>
    <t>732997443873</t>
  </si>
  <si>
    <t>640013840110</t>
  </si>
  <si>
    <t>STACKED 808</t>
  </si>
  <si>
    <t>UY120520</t>
  </si>
  <si>
    <t>732996848884</t>
  </si>
  <si>
    <t>726895563184</t>
  </si>
  <si>
    <t>PERF SOLID CREW TEE</t>
  </si>
  <si>
    <t>732996623788</t>
  </si>
  <si>
    <t>EMBROIDERED PANDA</t>
  </si>
  <si>
    <t>100070993MN</t>
  </si>
  <si>
    <t>732996623801</t>
  </si>
  <si>
    <t>FLORAL PAISLEY</t>
  </si>
  <si>
    <t>100070994MN</t>
  </si>
  <si>
    <t>732996623849</t>
  </si>
  <si>
    <t>HOWLING WOLF</t>
  </si>
  <si>
    <t>100071016MN</t>
  </si>
  <si>
    <t>608381379830</t>
  </si>
  <si>
    <t>608381379786</t>
  </si>
  <si>
    <t>CARNATION FLORAL</t>
  </si>
  <si>
    <t>100048014MN</t>
  </si>
  <si>
    <t>732994944311</t>
  </si>
  <si>
    <t>VERTICAL STRIPES</t>
  </si>
  <si>
    <t>100051111MN</t>
  </si>
  <si>
    <t>NYLON/RAYON/ACRYLIC/SPANDEX (EXCLUSIVE OF ELASTIC)</t>
  </si>
  <si>
    <t>732996985916</t>
  </si>
  <si>
    <t>CROSS WEAVE</t>
  </si>
  <si>
    <t>100071056MN</t>
  </si>
  <si>
    <t>732996985879</t>
  </si>
  <si>
    <t>SOLID ARGYLE</t>
  </si>
  <si>
    <t>100071051MN</t>
  </si>
  <si>
    <t>NYLON/ACRYLIC/RAYON/SPANDEX</t>
  </si>
  <si>
    <t>732996807584</t>
  </si>
  <si>
    <t>ABSTRACT BOXES</t>
  </si>
  <si>
    <t>100071052MN</t>
  </si>
  <si>
    <t>732996985886</t>
  </si>
  <si>
    <t>732996985893</t>
  </si>
  <si>
    <t>PIXEL WINDOW PANE</t>
  </si>
  <si>
    <t>100071053MN</t>
  </si>
  <si>
    <t>732996807560</t>
  </si>
  <si>
    <t>SOLID RIB</t>
  </si>
  <si>
    <t>100071048MN</t>
  </si>
  <si>
    <t>732996985909</t>
  </si>
  <si>
    <t>81091584082</t>
  </si>
  <si>
    <t>HORIZONTAL MULTI STR BASIC</t>
  </si>
  <si>
    <t>732995982817</t>
  </si>
  <si>
    <t>888987357023</t>
  </si>
  <si>
    <t>JETTY SOLID</t>
  </si>
  <si>
    <t>1UP9-1008</t>
  </si>
  <si>
    <t>FOUR IN HAND/BESPOKE FASHION LLC</t>
  </si>
  <si>
    <t>8054318042704</t>
  </si>
  <si>
    <t>SHIRT F- N39345</t>
  </si>
  <si>
    <t>S01DL0212N39345</t>
  </si>
  <si>
    <t>46 REG</t>
  </si>
  <si>
    <t>MNS DESIG COL</t>
  </si>
  <si>
    <t>JUST CAVALLI/STAFF USA INC</t>
  </si>
  <si>
    <t>8050328456579</t>
  </si>
  <si>
    <t>SHORT SLEEVE REGULAR FIT</t>
  </si>
  <si>
    <t>S03GC0525N20663</t>
  </si>
  <si>
    <t>887096079161</t>
  </si>
  <si>
    <t>SNAKESKIN COAT</t>
  </si>
  <si>
    <t>VRGORTNB1016</t>
  </si>
  <si>
    <t>SHELL: POLYURETHANE; LINING: POLYESTER</t>
  </si>
  <si>
    <t>883498667814</t>
  </si>
  <si>
    <t>TALLIA COAT PLAID BLACK/</t>
  </si>
  <si>
    <t>VNYA1TVW0130</t>
  </si>
  <si>
    <t>SHELL: POLYESTER/RAYON/METALLIC THREAD/ELASTANE/NYLON; LINING: POLYESTER</t>
  </si>
  <si>
    <t>883498858120</t>
  </si>
  <si>
    <t>LT GREY SOLID CASH</t>
  </si>
  <si>
    <t>LCSS12QA0015</t>
  </si>
  <si>
    <t>8763245959</t>
  </si>
  <si>
    <t>ANOTHONY MOCK NECK</t>
  </si>
  <si>
    <t>78E3685</t>
  </si>
  <si>
    <t>SHELL: COTTON/POLYESTER; LINING: POLYESTER/ELASTANE</t>
  </si>
  <si>
    <t>883498720045</t>
  </si>
  <si>
    <t>BURGUNDY PLAID</t>
  </si>
  <si>
    <t>RAYN1RNS0074</t>
  </si>
  <si>
    <t>SHELL: POLYESTER/RAYON; LINING: POLYESTER/VISCOSE</t>
  </si>
  <si>
    <t>738085913303</t>
  </si>
  <si>
    <t>STRETCH CLSC CORD PNT</t>
  </si>
  <si>
    <t>8055187640794</t>
  </si>
  <si>
    <t>AX TAPED HOODIE</t>
  </si>
  <si>
    <t>6GZMMAZJ1UZ8502</t>
  </si>
  <si>
    <t>ARMANI MENS</t>
  </si>
  <si>
    <t>ARMANI EXCHANGE/GIORGIO ARMANI CORP</t>
  </si>
  <si>
    <t>193238928946</t>
  </si>
  <si>
    <t>THE TRUCKER JACKET W</t>
  </si>
  <si>
    <t>192412672118</t>
  </si>
  <si>
    <t>ASH-X</t>
  </si>
  <si>
    <t>BM22329</t>
  </si>
  <si>
    <t>193851298938</t>
  </si>
  <si>
    <t>FORTINO</t>
  </si>
  <si>
    <t>BPM13398</t>
  </si>
  <si>
    <t>193851298976</t>
  </si>
  <si>
    <t>193851298990</t>
  </si>
  <si>
    <t>193851298716</t>
  </si>
  <si>
    <t>885400594270</t>
  </si>
  <si>
    <t>STRETCH DENIM-SSVARICK5P</t>
  </si>
  <si>
    <t>8763261881</t>
  </si>
  <si>
    <t>GENEVA CREW</t>
  </si>
  <si>
    <t>78E2866</t>
  </si>
  <si>
    <t>731516193152</t>
  </si>
  <si>
    <t>S93311-CREW DOUBLE A</t>
  </si>
  <si>
    <t>S93311</t>
  </si>
  <si>
    <t>731516193183</t>
  </si>
  <si>
    <t>192536715203</t>
  </si>
  <si>
    <t>SWEATER</t>
  </si>
  <si>
    <t>AH7003</t>
  </si>
  <si>
    <t>7</t>
  </si>
  <si>
    <t>COTTON; RIB EDGE: COTTON/POLYAMIDE/ELASTANE</t>
  </si>
  <si>
    <t>8055187053808</t>
  </si>
  <si>
    <t>CARDIGAN</t>
  </si>
  <si>
    <t>8NZE3CZMQ1Z1465</t>
  </si>
  <si>
    <t>732997754672</t>
  </si>
  <si>
    <t>EMBO VLVT SLM BLZ</t>
  </si>
  <si>
    <t>8719768559768</t>
  </si>
  <si>
    <t>5621 SWEATPANT</t>
  </si>
  <si>
    <t>D13314-A971-6484</t>
  </si>
  <si>
    <t>PREMIUM BOTMS</t>
  </si>
  <si>
    <t>G-STAR BERAW/G-STAR INC</t>
  </si>
  <si>
    <t>COTTON/POLYESTER; RIBBING: COTTON/POLYESTER/ELASTANE</t>
  </si>
  <si>
    <t>732997642559</t>
  </si>
  <si>
    <t>CNTRST TPSTCH TOPCOA</t>
  </si>
  <si>
    <t>732997642573</t>
  </si>
  <si>
    <t>883820757992</t>
  </si>
  <si>
    <t>OFFC PLQ RLR-CSL-SML</t>
  </si>
  <si>
    <t>POLO RALPH LAUREN LEATHERGOODS</t>
  </si>
  <si>
    <t>883820112135</t>
  </si>
  <si>
    <t>883820112180</t>
  </si>
  <si>
    <t>732997365311</t>
  </si>
  <si>
    <t>BT MAX SLM VLVT BLZ BASIC</t>
  </si>
  <si>
    <t>100079867BT</t>
  </si>
  <si>
    <t>48 BIG</t>
  </si>
  <si>
    <t>INC MENS-EDI/BIG &amp; TALL</t>
  </si>
  <si>
    <t>193238426060</t>
  </si>
  <si>
    <t>511 COMM MERLOT</t>
  </si>
  <si>
    <t>741065206180</t>
  </si>
  <si>
    <t>COTTON MODAL 1/4 ZIP - 1</t>
  </si>
  <si>
    <t>40T7052</t>
  </si>
  <si>
    <t>COTTON/MODAL/NYLON (EXCLUSIVE OF DECORATION)</t>
  </si>
  <si>
    <t>741065206203</t>
  </si>
  <si>
    <t>749194642688</t>
  </si>
  <si>
    <t>MERINO V NECK SWEATER 12</t>
  </si>
  <si>
    <t>40Q7000</t>
  </si>
  <si>
    <t>SHELL: WOOL; TRIM: WOOL/NYLON/ELASTANE</t>
  </si>
  <si>
    <t>741065206456</t>
  </si>
  <si>
    <t>741065206425</t>
  </si>
  <si>
    <t>741065206432</t>
  </si>
  <si>
    <t>741065206258</t>
  </si>
  <si>
    <t>749194642725</t>
  </si>
  <si>
    <t>741065206449</t>
  </si>
  <si>
    <t>193145836488</t>
  </si>
  <si>
    <t>BLUES AOP CAMO FZ DRY FLC HOOD</t>
  </si>
  <si>
    <t>BV2718</t>
  </si>
  <si>
    <t>193238281478</t>
  </si>
  <si>
    <t>502 CARGO CAMO</t>
  </si>
  <si>
    <t>192379399028</t>
  </si>
  <si>
    <t>192379436778</t>
  </si>
  <si>
    <t>193239042665</t>
  </si>
  <si>
    <t>193239042467</t>
  </si>
  <si>
    <t>33X34</t>
  </si>
  <si>
    <t>192379319996</t>
  </si>
  <si>
    <t>193238930055</t>
  </si>
  <si>
    <t>514 STRAIGHT RALLY R</t>
  </si>
  <si>
    <t>193238605335</t>
  </si>
  <si>
    <t>193239030297</t>
  </si>
  <si>
    <t>511 TROUSER COALINGA PLD</t>
  </si>
  <si>
    <t>887035618406</t>
  </si>
  <si>
    <t>514 WHITE BULL DENIM</t>
  </si>
  <si>
    <t>193238281461</t>
  </si>
  <si>
    <t>889319233442</t>
  </si>
  <si>
    <t>732997589441</t>
  </si>
  <si>
    <t>DRYDEN FAUX SUEDE</t>
  </si>
  <si>
    <t>8763089256</t>
  </si>
  <si>
    <t>52177567558</t>
  </si>
  <si>
    <t>732998156857</t>
  </si>
  <si>
    <t>OVERBOUND JACKET</t>
  </si>
  <si>
    <t>SHELL, FAUX FUR LINING AND SLEEVES: POLYESTER</t>
  </si>
  <si>
    <t>732998156826</t>
  </si>
  <si>
    <t>191884058802</t>
  </si>
  <si>
    <t>BLAC M NK RUN PANT</t>
  </si>
  <si>
    <t>AA1999</t>
  </si>
  <si>
    <t>883820790067</t>
  </si>
  <si>
    <t>TB FRNT STRC-CSL-SYN</t>
  </si>
  <si>
    <t>STRAP: ACETATE TWILL; TRIM: LEATHER</t>
  </si>
  <si>
    <t>740670716404</t>
  </si>
  <si>
    <t>L/S 12GG TUCK STITCH CRE</t>
  </si>
  <si>
    <t>OPGB0096OP</t>
  </si>
  <si>
    <t>MODERN PREP</t>
  </si>
  <si>
    <t>ORIGINAL PENGUIN/SUPREME INTL</t>
  </si>
  <si>
    <t>888188385368</t>
  </si>
  <si>
    <t>30MM RVRS PBL DRESS</t>
  </si>
  <si>
    <t>883820790074</t>
  </si>
  <si>
    <t>888188385337</t>
  </si>
  <si>
    <t>8763079868</t>
  </si>
  <si>
    <t>828570543860</t>
  </si>
  <si>
    <t>FIFTY50 FADE PRO</t>
  </si>
  <si>
    <t>M136VBFF</t>
  </si>
  <si>
    <t>732998156604</t>
  </si>
  <si>
    <t>8763260778</t>
  </si>
  <si>
    <t>SIGNATURE SOLID VNECK</t>
  </si>
  <si>
    <t>78E2864</t>
  </si>
  <si>
    <t>741065281545</t>
  </si>
  <si>
    <t>PRINTED TEXTURE 5 POCKET</t>
  </si>
  <si>
    <t>40TY122</t>
  </si>
  <si>
    <t>741065205640</t>
  </si>
  <si>
    <t>741065281422</t>
  </si>
  <si>
    <t>741065281293</t>
  </si>
  <si>
    <t>741065205664</t>
  </si>
  <si>
    <t>741065201888</t>
  </si>
  <si>
    <t>741065281477</t>
  </si>
  <si>
    <t>741065281415</t>
  </si>
  <si>
    <t>192379952841</t>
  </si>
  <si>
    <t>732996825489</t>
  </si>
  <si>
    <t>CASTING SWEATER JACK</t>
  </si>
  <si>
    <t>SHELL KNIT/HOOD LINING: COTTON/ACRYLIC; WOVEN/BODY LINING: POLYESTER</t>
  </si>
  <si>
    <t>732996825625</t>
  </si>
  <si>
    <t>11333887268</t>
  </si>
  <si>
    <t>STEEL EXTREME SLIM</t>
  </si>
  <si>
    <t>33K4074</t>
  </si>
  <si>
    <t>735991637125</t>
  </si>
  <si>
    <t>191603964582</t>
  </si>
  <si>
    <t>STOWE</t>
  </si>
  <si>
    <t>3LGLK1892</t>
  </si>
  <si>
    <t>88541850025</t>
  </si>
  <si>
    <t>732997310786</t>
  </si>
  <si>
    <t>DEEP TWILL BOMBER</t>
  </si>
  <si>
    <t>100064411MN</t>
  </si>
  <si>
    <t>NYLON/POLYESTER</t>
  </si>
  <si>
    <t>193145759954</t>
  </si>
  <si>
    <t>M HRLY PHTM OVERSPRA</t>
  </si>
  <si>
    <t>AQ9995</t>
  </si>
  <si>
    <t>HURLEY INTERNATIONAL DNU SEE VPD</t>
  </si>
  <si>
    <t>RECYCLED POLYESTER/SPANDEX</t>
  </si>
  <si>
    <t>663309553297</t>
  </si>
  <si>
    <t>MOTTO RIB SHAWL NECK SWE</t>
  </si>
  <si>
    <t>HS190101</t>
  </si>
  <si>
    <t>39307468619</t>
  </si>
  <si>
    <t>501 LIGHT BLUE1 BASIC</t>
  </si>
  <si>
    <t>52X32</t>
  </si>
  <si>
    <t>883498424967</t>
  </si>
  <si>
    <t>PROM BLUE PANT</t>
  </si>
  <si>
    <t>RONYPR3Z0001</t>
  </si>
  <si>
    <t>192536877260</t>
  </si>
  <si>
    <t>SS BIG CROC ANIMATION JE</t>
  </si>
  <si>
    <t>TH0582</t>
  </si>
  <si>
    <t>732998452737</t>
  </si>
  <si>
    <t>BESTED KNIT JACKET</t>
  </si>
  <si>
    <t>192660883946</t>
  </si>
  <si>
    <t>VIEWMONT PANT</t>
  </si>
  <si>
    <t>192660883939</t>
  </si>
  <si>
    <t>719250751593</t>
  </si>
  <si>
    <t>WHITE REG SOLID</t>
  </si>
  <si>
    <t>24N1092</t>
  </si>
  <si>
    <t>732998446361</t>
  </si>
  <si>
    <t>SPOTLIGHT JOGGER</t>
  </si>
  <si>
    <t>SHELL: POLYESTER/RAYON/SPANDEX; PIECING: POLYESTER/SPANDEX</t>
  </si>
  <si>
    <t>749194890836</t>
  </si>
  <si>
    <t>192861045099</t>
  </si>
  <si>
    <t>190697447254</t>
  </si>
  <si>
    <t>LIGHT BLUE POPPLIN</t>
  </si>
  <si>
    <t>RSD000</t>
  </si>
  <si>
    <t>886912509424</t>
  </si>
  <si>
    <t>WHIT M NKCT DRY SHORT 9IN</t>
  </si>
  <si>
    <t>731516185447</t>
  </si>
  <si>
    <t>715676867894</t>
  </si>
  <si>
    <t>TOMMY SHORT 9</t>
  </si>
  <si>
    <t>78D8725</t>
  </si>
  <si>
    <t>8763062310</t>
  </si>
  <si>
    <t>BOLD RUGBY L/S STP TEE</t>
  </si>
  <si>
    <t>78D9076</t>
  </si>
  <si>
    <t>749372116697</t>
  </si>
  <si>
    <t>W94111-BLUE SAIL OXF</t>
  </si>
  <si>
    <t>W94111</t>
  </si>
  <si>
    <t>11333740402</t>
  </si>
  <si>
    <t>LS REG TEK FIT NI</t>
  </si>
  <si>
    <t>627736794296</t>
  </si>
  <si>
    <t>BW BIRDSEYE PANT</t>
  </si>
  <si>
    <t>RBISPR2Z0020</t>
  </si>
  <si>
    <t>POLYESTER/RAYON/ELASTANE</t>
  </si>
  <si>
    <t>611318613808</t>
  </si>
  <si>
    <t>PERFORMANCE PANT FASHION</t>
  </si>
  <si>
    <t>5NFB0023</t>
  </si>
  <si>
    <t>889319968481</t>
  </si>
  <si>
    <t>689439877485</t>
  </si>
  <si>
    <t>L/S SCRIBBLE SHIRT</t>
  </si>
  <si>
    <t>883498668378</t>
  </si>
  <si>
    <t>JAYDPJSY0709</t>
  </si>
  <si>
    <t>732998756866</t>
  </si>
  <si>
    <t>NTL DTRD MOTO PANT</t>
  </si>
  <si>
    <t>732998756873</t>
  </si>
  <si>
    <t>732998756903</t>
  </si>
  <si>
    <t>732998756965</t>
  </si>
  <si>
    <t>732998223900</t>
  </si>
  <si>
    <t>BI REDDIE STRIPED SH BASIC</t>
  </si>
  <si>
    <t>100075728BI</t>
  </si>
  <si>
    <t>732998223948</t>
  </si>
  <si>
    <t>BT REDDIE STRIPED SH BASIC</t>
  </si>
  <si>
    <t>100075728BT</t>
  </si>
  <si>
    <t>192536904195</t>
  </si>
  <si>
    <t>TEE-SHIRT</t>
  </si>
  <si>
    <t>TH6709</t>
  </si>
  <si>
    <t>889498174154</t>
  </si>
  <si>
    <t>CIRCLES SWEAT SHIRT</t>
  </si>
  <si>
    <t>TLO9FSK717-400</t>
  </si>
  <si>
    <t>192166373101</t>
  </si>
  <si>
    <t>CAMO DRAWSTRING CARGO PA</t>
  </si>
  <si>
    <t>F97295ME</t>
  </si>
  <si>
    <t>192166400623</t>
  </si>
  <si>
    <t>SHERPA PRINTED HOODY</t>
  </si>
  <si>
    <t>F930136ME</t>
  </si>
  <si>
    <t>SHELL: COTTON/POLYESTER; LINING: POLYESTER</t>
  </si>
  <si>
    <t>192166378427</t>
  </si>
  <si>
    <t>17457088390</t>
  </si>
  <si>
    <t>KENNETH COLE REACTION ME</t>
  </si>
  <si>
    <t>KD80021</t>
  </si>
  <si>
    <t>KENNETH COLE DIV/HAGGAR CLOTHING CO</t>
  </si>
  <si>
    <t>POLYESTER/VISCOSE/RAYON/SPANDEX</t>
  </si>
  <si>
    <t>732998340898</t>
  </si>
  <si>
    <t>732998156505</t>
  </si>
  <si>
    <t>191603966982</t>
  </si>
  <si>
    <t>191603966951</t>
  </si>
  <si>
    <t>732997846025</t>
  </si>
  <si>
    <t>BI LAMPOON PANT BASIC</t>
  </si>
  <si>
    <t>100075475BI</t>
  </si>
  <si>
    <t>636206630323</t>
  </si>
  <si>
    <t>884411002149</t>
  </si>
  <si>
    <t>ALBAN</t>
  </si>
  <si>
    <t>3LGLW1596</t>
  </si>
  <si>
    <t>884411002156</t>
  </si>
  <si>
    <t>192290870521</t>
  </si>
  <si>
    <t>192290882661</t>
  </si>
  <si>
    <t>VAPOR RIDGE III LONG</t>
  </si>
  <si>
    <t>192290883255</t>
  </si>
  <si>
    <t>192290883002</t>
  </si>
  <si>
    <t>627736506530</t>
  </si>
  <si>
    <t>CORDUROY PLEAT</t>
  </si>
  <si>
    <t>NEILPDLX0000</t>
  </si>
  <si>
    <t>883498657877</t>
  </si>
  <si>
    <t>CALVIN KLEIN SLIM-FIT FA</t>
  </si>
  <si>
    <t>JMROPJSYX704</t>
  </si>
  <si>
    <t>653411906463</t>
  </si>
  <si>
    <t>BLUE SLIM PRINT</t>
  </si>
  <si>
    <t>32R2680</t>
  </si>
  <si>
    <t>KENNETH COLE REACTION/VAN HEUSEN</t>
  </si>
  <si>
    <t>884411099569</t>
  </si>
  <si>
    <t>884411099477</t>
  </si>
  <si>
    <t>MIGUEL</t>
  </si>
  <si>
    <t>3LGLW1908</t>
  </si>
  <si>
    <t>191603999614</t>
  </si>
  <si>
    <t>653411906418</t>
  </si>
  <si>
    <t>191603957157</t>
  </si>
  <si>
    <t>732998308096</t>
  </si>
  <si>
    <t>732997835661</t>
  </si>
  <si>
    <t>192166385180</t>
  </si>
  <si>
    <t>LS BRUSHED HORIZTONAL ST</t>
  </si>
  <si>
    <t>F985089ME</t>
  </si>
  <si>
    <t>732997461884</t>
  </si>
  <si>
    <t>CURIOUS JACKET</t>
  </si>
  <si>
    <t>732997977552</t>
  </si>
  <si>
    <t>BT LS IF VICTOR SHRT BASIC</t>
  </si>
  <si>
    <t>100031340BT</t>
  </si>
  <si>
    <t>732997590690</t>
  </si>
  <si>
    <t>BEAST JEAN SLMST</t>
  </si>
  <si>
    <t>6N663540</t>
  </si>
  <si>
    <t>38X34</t>
  </si>
  <si>
    <t>FAUX LEATHER: POLYURETHANE</t>
  </si>
  <si>
    <t>192166381151</t>
  </si>
  <si>
    <t>MILITARY BTTN MOCK</t>
  </si>
  <si>
    <t>F95990ME</t>
  </si>
  <si>
    <t>192166381267</t>
  </si>
  <si>
    <t>26217516790</t>
  </si>
  <si>
    <t>35MM FE PEBBLE GRAIN</t>
  </si>
  <si>
    <t>11KN01X026</t>
  </si>
  <si>
    <t>KENNETH COLE NY/RANDA ACCESSORIES</t>
  </si>
  <si>
    <t>26217552262</t>
  </si>
  <si>
    <t>35MM CE HC WITH STITCH</t>
  </si>
  <si>
    <t>11KN02X032</t>
  </si>
  <si>
    <t>26217516783</t>
  </si>
  <si>
    <t>26217552293</t>
  </si>
  <si>
    <t>732996825779</t>
  </si>
  <si>
    <t>MARS SWEATER</t>
  </si>
  <si>
    <t>VISCOSE/NYLON</t>
  </si>
  <si>
    <t>192166387542</t>
  </si>
  <si>
    <t>192166383704</t>
  </si>
  <si>
    <t>FAIR ISLE SKI CREW</t>
  </si>
  <si>
    <t>F95971ME</t>
  </si>
  <si>
    <t>192166387566</t>
  </si>
  <si>
    <t>840066705880</t>
  </si>
  <si>
    <t>OLIVE SKULL TEE</t>
  </si>
  <si>
    <t>HA-KT-485</t>
  </si>
  <si>
    <t>100% COTTON JERSEY</t>
  </si>
  <si>
    <t>732997462980</t>
  </si>
  <si>
    <t>LETS START JKT FASH</t>
  </si>
  <si>
    <t>732997462973</t>
  </si>
  <si>
    <t>732998157069</t>
  </si>
  <si>
    <t>732998157137</t>
  </si>
  <si>
    <t>732997708330</t>
  </si>
  <si>
    <t>RAGLAN TECH FLEECE</t>
  </si>
  <si>
    <t>100075864MN</t>
  </si>
  <si>
    <t>889444726048</t>
  </si>
  <si>
    <t>T-SHIRT SS 5PALLE OFFSID</t>
  </si>
  <si>
    <t>DIADORA US INC</t>
  </si>
  <si>
    <t>732998444947</t>
  </si>
  <si>
    <t>732994111423</t>
  </si>
  <si>
    <t>DARK MOTO JEAN</t>
  </si>
  <si>
    <t>732998176152</t>
  </si>
  <si>
    <t>RIB FULL ZIP JACKET</t>
  </si>
  <si>
    <t>100087066MN</t>
  </si>
  <si>
    <t>732997846353</t>
  </si>
  <si>
    <t>732997846544</t>
  </si>
  <si>
    <t>11333859616</t>
  </si>
  <si>
    <t>20F6618</t>
  </si>
  <si>
    <t>11333859609</t>
  </si>
  <si>
    <t>631712499433</t>
  </si>
  <si>
    <t>88541868815</t>
  </si>
  <si>
    <t>631712420635</t>
  </si>
  <si>
    <t>631712420659</t>
  </si>
  <si>
    <t>631712420703</t>
  </si>
  <si>
    <t>631712420260</t>
  </si>
  <si>
    <t>631712543990</t>
  </si>
  <si>
    <t>631712420550</t>
  </si>
  <si>
    <t>732996184463</t>
  </si>
  <si>
    <t>MILITIA CARGO</t>
  </si>
  <si>
    <t>100061066MN</t>
  </si>
  <si>
    <t>34497718704</t>
  </si>
  <si>
    <t>BODY 2PK TRNK WHT BASIC</t>
  </si>
  <si>
    <t>U1804</t>
  </si>
  <si>
    <t>732997456934</t>
  </si>
  <si>
    <t>ABSTRACT JQD CREW</t>
  </si>
  <si>
    <t>100069802MN</t>
  </si>
  <si>
    <t>732997149553</t>
  </si>
  <si>
    <t>732997456941</t>
  </si>
  <si>
    <t>732997456927</t>
  </si>
  <si>
    <t>732998336884</t>
  </si>
  <si>
    <t>843113138822</t>
  </si>
  <si>
    <t>METALLICA FLEECE</t>
  </si>
  <si>
    <t>732996714622</t>
  </si>
  <si>
    <t>COLORED DENIM SLMST</t>
  </si>
  <si>
    <t>732997201923</t>
  </si>
  <si>
    <t>MONSTER SWEATER</t>
  </si>
  <si>
    <t>732997203149</t>
  </si>
  <si>
    <t>MICHAEL SWEATER</t>
  </si>
  <si>
    <t>191475138548</t>
  </si>
  <si>
    <t>SUPERBREAK</t>
  </si>
  <si>
    <t>JS00T5010RC</t>
  </si>
  <si>
    <t>192166386460</t>
  </si>
  <si>
    <t>F985034ME</t>
  </si>
  <si>
    <t>192166386477</t>
  </si>
  <si>
    <t>732998106289</t>
  </si>
  <si>
    <t>RAGLAN SLV TRACK JKT</t>
  </si>
  <si>
    <t>100082759MN</t>
  </si>
  <si>
    <t>732997642160</t>
  </si>
  <si>
    <t>MULTISTRIPE SWEATER</t>
  </si>
  <si>
    <t>100077253MN</t>
  </si>
  <si>
    <t>732997836101</t>
  </si>
  <si>
    <t>GALAXY TEE</t>
  </si>
  <si>
    <t>732995063554</t>
  </si>
  <si>
    <t>32MM FE MULIT COLOR BASIC</t>
  </si>
  <si>
    <t>100052201MN</t>
  </si>
  <si>
    <t>LEATHER/POLYURETHANE/BONDED LEATHER</t>
  </si>
  <si>
    <t>663309731480</t>
  </si>
  <si>
    <t>DREAM BIGGER TEE</t>
  </si>
  <si>
    <t>HT192017</t>
  </si>
  <si>
    <t>732996419480</t>
  </si>
  <si>
    <t>BOTANICAL SLIM VEST</t>
  </si>
  <si>
    <t>732997545768</t>
  </si>
  <si>
    <t>EDWIN TAPER JEAN BASIC</t>
  </si>
  <si>
    <t>732997547342</t>
  </si>
  <si>
    <t>MALCOLM RELAX JEAN BASIC</t>
  </si>
  <si>
    <t>193101003794</t>
  </si>
  <si>
    <t>26217588438</t>
  </si>
  <si>
    <t>32MM CE</t>
  </si>
  <si>
    <t>11RS01XZ07</t>
  </si>
  <si>
    <t>RYAN SEACREST/RANDA ACCESSORIES</t>
  </si>
  <si>
    <t>SPLIT LEATHER/BONDED LEATHER/POLYURETHANE</t>
  </si>
  <si>
    <t>26217588285</t>
  </si>
  <si>
    <t>35MM DES1</t>
  </si>
  <si>
    <t>11RS01XZ04</t>
  </si>
  <si>
    <t>BONDED LEATHER/SPLIT LEATHER/POLYURETHANE</t>
  </si>
  <si>
    <t>732998071747</t>
  </si>
  <si>
    <t>LS LAMBERT SHIRT</t>
  </si>
  <si>
    <t>COTTON/LUREX</t>
  </si>
  <si>
    <t>732997201268</t>
  </si>
  <si>
    <t>REBEL MOCKNECK</t>
  </si>
  <si>
    <t>732997202418</t>
  </si>
  <si>
    <t>79402288293</t>
  </si>
  <si>
    <t>MINI BOX CORD LUK M</t>
  </si>
  <si>
    <t>MANMADE UPPER/SOLE</t>
  </si>
  <si>
    <t>884411591476</t>
  </si>
  <si>
    <t>STRANGER THINGS KIDS LOG</t>
  </si>
  <si>
    <t>2STM0555</t>
  </si>
  <si>
    <t>884411591209</t>
  </si>
  <si>
    <t>BUD LIGHT LOGO</t>
  </si>
  <si>
    <t>2ANB0364</t>
  </si>
  <si>
    <t>732998457749</t>
  </si>
  <si>
    <t>SLEPT HOODIE</t>
  </si>
  <si>
    <t>732998457800</t>
  </si>
  <si>
    <t>732998457770</t>
  </si>
  <si>
    <t>732998457763</t>
  </si>
  <si>
    <t>732997292082</t>
  </si>
  <si>
    <t>SS TEXTURED UTILITY</t>
  </si>
  <si>
    <t>26217144078</t>
  </si>
  <si>
    <t>TEXTURE REVERSIBLE</t>
  </si>
  <si>
    <t>11TL01X031</t>
  </si>
  <si>
    <t>TOMMY HILFIGER/RANDA ACCESSORIES</t>
  </si>
  <si>
    <t>POLYURETHANE/BONDED LEATHER/SPLIT LEATHER</t>
  </si>
  <si>
    <t>732998122579</t>
  </si>
  <si>
    <t>192660882840</t>
  </si>
  <si>
    <t>THISTLETOWN RIDGE CR</t>
  </si>
  <si>
    <t>732997633311</t>
  </si>
  <si>
    <t>LS DOMINIC FLORAL SH</t>
  </si>
  <si>
    <t>26217124353</t>
  </si>
  <si>
    <t>35MM PLAQUE TUBULAR</t>
  </si>
  <si>
    <t>11KC02X076</t>
  </si>
  <si>
    <t>POLYURETHANE</t>
  </si>
  <si>
    <t>732998207184</t>
  </si>
  <si>
    <t>L/S PAX SHIRT</t>
  </si>
  <si>
    <t>732998207177</t>
  </si>
  <si>
    <t>706255661712</t>
  </si>
  <si>
    <t>706255661606</t>
  </si>
  <si>
    <t>706255661682</t>
  </si>
  <si>
    <t>706257341230</t>
  </si>
  <si>
    <t>NEVEN LINEN PANT</t>
  </si>
  <si>
    <t>6N610540</t>
  </si>
  <si>
    <t>LINEN/COTTON/POLYESTER</t>
  </si>
  <si>
    <t>732998341352</t>
  </si>
  <si>
    <t>BUZZ SS HOODIE</t>
  </si>
  <si>
    <t>732998341420</t>
  </si>
  <si>
    <t>732997372609</t>
  </si>
  <si>
    <t>LS VINCE SOLID</t>
  </si>
  <si>
    <t>100076886MN</t>
  </si>
  <si>
    <t>732996354361</t>
  </si>
  <si>
    <t>LS FRANK PLAID</t>
  </si>
  <si>
    <t>100060808MN</t>
  </si>
  <si>
    <t>732998186403</t>
  </si>
  <si>
    <t>LEONARD CARPENTER SH BASIC</t>
  </si>
  <si>
    <t>100085747MN</t>
  </si>
  <si>
    <t>732998207337</t>
  </si>
  <si>
    <t>SS NELSON SHIRT</t>
  </si>
  <si>
    <t>732996529288</t>
  </si>
  <si>
    <t>L/S FASH KHLO SHIRT</t>
  </si>
  <si>
    <t>732998007869</t>
  </si>
  <si>
    <t>732998133995</t>
  </si>
  <si>
    <t>732998133988</t>
  </si>
  <si>
    <t>732998307631</t>
  </si>
  <si>
    <t>BI WINGS TEE</t>
  </si>
  <si>
    <t>100081877BI</t>
  </si>
  <si>
    <t>COTTON/POLYESTER; FAUX-LEATHER PIECING: POLYESTER</t>
  </si>
  <si>
    <t>732998023265</t>
  </si>
  <si>
    <t>884411466088</t>
  </si>
  <si>
    <t>MUSHROOM CHAMP</t>
  </si>
  <si>
    <t>2NIN4699</t>
  </si>
  <si>
    <t>884411466101</t>
  </si>
  <si>
    <t>884411465975</t>
  </si>
  <si>
    <t>COKE REPEAT</t>
  </si>
  <si>
    <t>2CCV2075</t>
  </si>
  <si>
    <t>884411466002</t>
  </si>
  <si>
    <t>884411466057</t>
  </si>
  <si>
    <t>NASA HITS</t>
  </si>
  <si>
    <t>2NAS658</t>
  </si>
  <si>
    <t>732998362173</t>
  </si>
  <si>
    <t>SS RICKY SHIRT</t>
  </si>
  <si>
    <t>COTTON/LINEN</t>
  </si>
  <si>
    <t>732998362180</t>
  </si>
  <si>
    <t>732997633021</t>
  </si>
  <si>
    <t>LS RYAN TOPPER SHIRT</t>
  </si>
  <si>
    <t>732998139256</t>
  </si>
  <si>
    <t>PRISM PRINTED LS TEE</t>
  </si>
  <si>
    <t>100073563MN</t>
  </si>
  <si>
    <t>732998006824</t>
  </si>
  <si>
    <t>REANULT PAISLEY PRNT</t>
  </si>
  <si>
    <t>100081582MN</t>
  </si>
  <si>
    <t>889498125231</t>
  </si>
  <si>
    <t>BURG DIAMOND</t>
  </si>
  <si>
    <t>SOV8FDC105-605</t>
  </si>
  <si>
    <t>726895478860</t>
  </si>
  <si>
    <t>732998112419</t>
  </si>
  <si>
    <t>756500119109</t>
  </si>
  <si>
    <t>756500220393</t>
  </si>
  <si>
    <t>JEWEL GRAPHIC CHECK</t>
  </si>
  <si>
    <t>K7994463</t>
  </si>
  <si>
    <t>888987481858</t>
  </si>
  <si>
    <t>888987481865</t>
  </si>
  <si>
    <t>888987481810</t>
  </si>
  <si>
    <t>DEVER PLAID</t>
  </si>
  <si>
    <t>2PC9-7021</t>
  </si>
  <si>
    <t>888987456993</t>
  </si>
  <si>
    <t>888987481889</t>
  </si>
  <si>
    <t>888987481728</t>
  </si>
  <si>
    <t>888987481780</t>
  </si>
  <si>
    <t>888987481742</t>
  </si>
  <si>
    <t>888987481797</t>
  </si>
  <si>
    <t>GOLD</t>
  </si>
  <si>
    <t>888987481872</t>
  </si>
  <si>
    <t>888987481902</t>
  </si>
  <si>
    <t>636189751558</t>
  </si>
  <si>
    <t>689439522750</t>
  </si>
  <si>
    <t>BDR STEWART TARTAN</t>
  </si>
  <si>
    <t>100031142MN</t>
  </si>
  <si>
    <t>636189765463</t>
  </si>
  <si>
    <t>SPR TWLL HNDSTH PLD</t>
  </si>
  <si>
    <t>100038196MN</t>
  </si>
  <si>
    <t>636189751589</t>
  </si>
  <si>
    <t>732998168461</t>
  </si>
  <si>
    <t>732998168539</t>
  </si>
  <si>
    <t>26414825299</t>
  </si>
  <si>
    <t>ATWOOD PAISLEY PT BT</t>
  </si>
  <si>
    <t>RS29210011</t>
  </si>
  <si>
    <t>884411344300</t>
  </si>
  <si>
    <t>RIGGS LS TEE</t>
  </si>
  <si>
    <t>3LSP3656LS</t>
  </si>
  <si>
    <t>26414826814</t>
  </si>
  <si>
    <t>BIANCA FLORAL PT BT</t>
  </si>
  <si>
    <t>RS20210111</t>
  </si>
  <si>
    <t>732997796863</t>
  </si>
  <si>
    <t>732998122357</t>
  </si>
  <si>
    <t>ISTELO TILE PRINT</t>
  </si>
  <si>
    <t>100082914MN</t>
  </si>
  <si>
    <t>726895594348</t>
  </si>
  <si>
    <t>810021395463</t>
  </si>
  <si>
    <t>732996676265</t>
  </si>
  <si>
    <t>191459051238</t>
  </si>
  <si>
    <t>MENS WOOL BTH EARWRAP</t>
  </si>
  <si>
    <t>FOWNES BROTHERS</t>
  </si>
  <si>
    <t>WOOL/RAYON/POLYESTER; FAUX FUR: POLYESTER</t>
  </si>
  <si>
    <t>732997105405</t>
  </si>
  <si>
    <t>MAXS LARGE DOBBY DOT</t>
  </si>
  <si>
    <t>100020741MN</t>
  </si>
  <si>
    <t>732997105382</t>
  </si>
  <si>
    <t>732997103999</t>
  </si>
  <si>
    <t>SPR TWLL MULT TTRSLL</t>
  </si>
  <si>
    <t>100031151MN</t>
  </si>
  <si>
    <t>726895601350</t>
  </si>
  <si>
    <t>726895051414</t>
  </si>
  <si>
    <t>ENRIQUE LTWT LS BASIC</t>
  </si>
  <si>
    <t>732997850961</t>
  </si>
  <si>
    <t>636189179666</t>
  </si>
  <si>
    <t>636189168585</t>
  </si>
  <si>
    <t>706257392843</t>
  </si>
  <si>
    <t>MAX INDGO MCR DT DOB BASIC</t>
  </si>
  <si>
    <t>BS17DTINDG</t>
  </si>
  <si>
    <t>706257393055</t>
  </si>
  <si>
    <t>MAX LGT BLUE BASKET BASIC</t>
  </si>
  <si>
    <t>BS17TXTBLU</t>
  </si>
  <si>
    <t>706257393062</t>
  </si>
  <si>
    <t>793775952314</t>
  </si>
  <si>
    <t>PIXEL SOLID</t>
  </si>
  <si>
    <t>M6953204</t>
  </si>
  <si>
    <t>756500193444</t>
  </si>
  <si>
    <t>CROSSLINE PLAID</t>
  </si>
  <si>
    <t>M6994544</t>
  </si>
  <si>
    <t>889498177513</t>
  </si>
  <si>
    <t>DARK GREEN SOLID</t>
  </si>
  <si>
    <t>SOB9SDS200-301</t>
  </si>
  <si>
    <t>732996548463</t>
  </si>
  <si>
    <t>732997167731</t>
  </si>
  <si>
    <t>SS MOCK NK CREW</t>
  </si>
  <si>
    <t>100064343MN</t>
  </si>
  <si>
    <t>COTTON/VISCOSE</t>
  </si>
  <si>
    <t>732997167748</t>
  </si>
  <si>
    <t>732998341536</t>
  </si>
  <si>
    <t>HUMILTY LS</t>
  </si>
  <si>
    <t>732998459217</t>
  </si>
  <si>
    <t>ROW TEE</t>
  </si>
  <si>
    <t>732996549040</t>
  </si>
  <si>
    <t>100020533MN</t>
  </si>
  <si>
    <t>193159039516</t>
  </si>
  <si>
    <t>2PP DBL MARLED STRIPE BO</t>
  </si>
  <si>
    <t>TB246318TA-001</t>
  </si>
  <si>
    <t>TIMBERLAND/CENTRIC SOCKS LLC</t>
  </si>
  <si>
    <t>ACRYLIC/POLYESTER/SPANDEX</t>
  </si>
  <si>
    <t>193159044183</t>
  </si>
  <si>
    <t>2PP COLORBLOCK BOOT SOCK</t>
  </si>
  <si>
    <t>TB246646TD-451</t>
  </si>
  <si>
    <t>POLYESTER/ACRYLIC/WOOL/SPANDEX</t>
  </si>
  <si>
    <t>732998110378</t>
  </si>
  <si>
    <t>26217012544</t>
  </si>
  <si>
    <t>35 CASUAL DOUB KEEPR BASIC</t>
  </si>
  <si>
    <t>N02X004251</t>
  </si>
  <si>
    <t>CLUB ROOM/RANDA ACCESSORIES LEATHER</t>
  </si>
  <si>
    <t>POLYURETHANE/BONDED LEATHER/POLYSTER</t>
  </si>
  <si>
    <t>732994433228</t>
  </si>
  <si>
    <t>SOLID TURTLENECK</t>
  </si>
  <si>
    <t>10305CH436</t>
  </si>
  <si>
    <t>732994945387</t>
  </si>
  <si>
    <t>4 PACK BLACK BLUE</t>
  </si>
  <si>
    <t>100052204MN</t>
  </si>
  <si>
    <t>732998307846</t>
  </si>
  <si>
    <t>WINGS TEE</t>
  </si>
  <si>
    <t>843113134381</t>
  </si>
  <si>
    <t>BIGGIE BABY LS KANJI</t>
  </si>
  <si>
    <t>191603812661</t>
  </si>
  <si>
    <t>SUPPLY BLUE MARLIN</t>
  </si>
  <si>
    <t>3CPFG0829</t>
  </si>
  <si>
    <t>BGEOVERFLW</t>
  </si>
  <si>
    <t>HYBRID PROMOTIONS</t>
  </si>
  <si>
    <t>191603682318</t>
  </si>
  <si>
    <t>GOOSEBUMPS</t>
  </si>
  <si>
    <t>3CPFG0853</t>
  </si>
  <si>
    <t>191603786511</t>
  </si>
  <si>
    <t>HAYWARDEN</t>
  </si>
  <si>
    <t>3CPFG0808</t>
  </si>
  <si>
    <t>732996369402</t>
  </si>
  <si>
    <t>SKRAM TEE</t>
  </si>
  <si>
    <t>15712011886</t>
  </si>
  <si>
    <t>CONVEX STRAP</t>
  </si>
  <si>
    <t>PN75007M</t>
  </si>
  <si>
    <t>PENGUIN/PERRY ELLIS MENSWEAR</t>
  </si>
  <si>
    <t>15712011848</t>
  </si>
  <si>
    <t>653411888479</t>
  </si>
  <si>
    <t>653411887298</t>
  </si>
  <si>
    <t>32LG054</t>
  </si>
  <si>
    <t>732997482391</t>
  </si>
  <si>
    <t>LS PAISLEY TEE</t>
  </si>
  <si>
    <t>100064294MN</t>
  </si>
  <si>
    <t>192861563739</t>
  </si>
  <si>
    <t>NAU100YLP097</t>
  </si>
  <si>
    <t>192861560004</t>
  </si>
  <si>
    <t>NAU111YLP095</t>
  </si>
  <si>
    <t>732998307754</t>
  </si>
  <si>
    <t>PENNY TEE</t>
  </si>
  <si>
    <t>SHELL: COTTON/POLYESTER; FAUX-LEATHER PIECING: POLYESTER</t>
  </si>
  <si>
    <t>192861559985</t>
  </si>
  <si>
    <t>192861559992</t>
  </si>
  <si>
    <t>192861565320</t>
  </si>
  <si>
    <t>NAU111YLP097</t>
  </si>
  <si>
    <t>608356839277</t>
  </si>
  <si>
    <t>TRAVEL STR POLO RPLN BASIC</t>
  </si>
  <si>
    <t>16617ASSK</t>
  </si>
  <si>
    <t>732994203487</t>
  </si>
  <si>
    <t>35MM HEATHER STRETCH BASIC</t>
  </si>
  <si>
    <t>100032611MN</t>
  </si>
  <si>
    <t>COTTON/POLYESTER/POLYURETHANE/BONDED LEATHER</t>
  </si>
  <si>
    <t>732994203524</t>
  </si>
  <si>
    <t>732995983050</t>
  </si>
  <si>
    <t>HOLDEN STRIPE</t>
  </si>
  <si>
    <t>26217513164</t>
  </si>
  <si>
    <t>MICROSUEDE VENETIAN</t>
  </si>
  <si>
    <t>71WT670048</t>
  </si>
  <si>
    <t>843113139898</t>
  </si>
  <si>
    <t>SNOOP NEON</t>
  </si>
  <si>
    <t>98593540683</t>
  </si>
  <si>
    <t>6PK DRESS TEXTURED WINDO</t>
  </si>
  <si>
    <t>436509PEP</t>
  </si>
  <si>
    <t>732998021537</t>
  </si>
  <si>
    <t>FOREST NIGHTS TEE</t>
  </si>
  <si>
    <t>100082270MN</t>
  </si>
  <si>
    <t>192166444320</t>
  </si>
  <si>
    <t>98593522108</t>
  </si>
  <si>
    <t>PERFORMANCE CASUAL COLOR</t>
  </si>
  <si>
    <t>436510PEP</t>
  </si>
  <si>
    <t>RAYON/POLYESTER/SPAMDEX</t>
  </si>
  <si>
    <t>98593457738</t>
  </si>
  <si>
    <t>6PK D STRIPES BLACK</t>
  </si>
  <si>
    <t>436505PEP</t>
  </si>
  <si>
    <t>98593439383</t>
  </si>
  <si>
    <t>6PK DRESS STRIPE BLK</t>
  </si>
  <si>
    <t>436503PEP</t>
  </si>
  <si>
    <t>47852274227</t>
  </si>
  <si>
    <t>HSM10014</t>
  </si>
  <si>
    <t>COTTON/NYLON/POLYESTER/SPANDEX</t>
  </si>
  <si>
    <t>732997461068</t>
  </si>
  <si>
    <t>TURN TEE</t>
  </si>
  <si>
    <t>732997086704</t>
  </si>
  <si>
    <t>58665580627</t>
  </si>
  <si>
    <t>CLASSIC ARGYLE CREW</t>
  </si>
  <si>
    <t>ALY102</t>
  </si>
  <si>
    <t>COLE HAAN/PVH LEGWEAR LLC</t>
  </si>
  <si>
    <t>58665133335</t>
  </si>
  <si>
    <t>MINI CHECK NEAT</t>
  </si>
  <si>
    <t>ALE122</t>
  </si>
  <si>
    <t>COMBED COTTON/POLYESTER/SPANDEX</t>
  </si>
  <si>
    <t>58665137036</t>
  </si>
  <si>
    <t>MULTI-STRIPE CREW</t>
  </si>
  <si>
    <t>ALY104</t>
  </si>
  <si>
    <t>NYLON/POLYESTER/RAYON/COMBED COTTON/SPANDEX</t>
  </si>
  <si>
    <t>98593542052</t>
  </si>
  <si>
    <t>BAMBOO DOUBLE STRIPE NAV</t>
  </si>
  <si>
    <t>859230PEP</t>
  </si>
  <si>
    <t>RAYON FROM BAMBOO/POLYESTER/SPANDEX. BAMBOO IS ECO-FRIENDLY DUE TO ITS SUSTAINABILITY AND SELF-RENEWABLE QUALITIES. IT IS ONE OF THE FASTEST-GROWING PLANTS ON EARTH.</t>
  </si>
  <si>
    <t>732996623825</t>
  </si>
  <si>
    <t>PIZZA EMB ATHLETIC</t>
  </si>
  <si>
    <t>100070997MN</t>
  </si>
  <si>
    <t>732998503569</t>
  </si>
  <si>
    <t>DOT HEARTS</t>
  </si>
  <si>
    <t>732996807577</t>
  </si>
  <si>
    <t>732996807591</t>
  </si>
  <si>
    <t>732996985923</t>
  </si>
  <si>
    <t>SOLID COLOR BLOCK</t>
  </si>
  <si>
    <t>100071062MN</t>
  </si>
  <si>
    <t>732996985930</t>
  </si>
  <si>
    <t>26414825374</t>
  </si>
  <si>
    <t>HENDRIX SOLID PT BT</t>
  </si>
  <si>
    <t>RS20210108</t>
  </si>
  <si>
    <t>29407398534</t>
  </si>
  <si>
    <t>VH SLIM THOMAS STRIP</t>
  </si>
  <si>
    <t>6V964314</t>
  </si>
  <si>
    <t>VAN HEUSEN/PVH NECKWEAR INC</t>
  </si>
  <si>
    <t>888987432522</t>
  </si>
  <si>
    <t>BLANCHE FLORAL</t>
  </si>
  <si>
    <t>1UP9-2013</t>
  </si>
  <si>
    <t>749194685524</t>
  </si>
  <si>
    <t>PARKA</t>
  </si>
  <si>
    <t>40Q6058</t>
  </si>
  <si>
    <t>749194685531</t>
  </si>
  <si>
    <t>749194685548</t>
  </si>
  <si>
    <t>883498639231</t>
  </si>
  <si>
    <t>JKT BRIGHT BLUE</t>
  </si>
  <si>
    <t>TTAY1CZZ45</t>
  </si>
  <si>
    <t>SHELL: WOOL/POLYESTER/ELASTANE; LINING: POLYESTER</t>
  </si>
  <si>
    <t>193395478339</t>
  </si>
  <si>
    <t>M SHRPA PTRL 1 4 SNP</t>
  </si>
  <si>
    <t>NF0A3MMSLQ5</t>
  </si>
  <si>
    <t>NORTH FACE</t>
  </si>
  <si>
    <t>NORTH FACE/VF OUTDOOR INC/V F CORP</t>
  </si>
  <si>
    <t>POLYESTER/WOOL 395 GSM</t>
  </si>
  <si>
    <t>192828517034</t>
  </si>
  <si>
    <t>CUCHILLO VEST</t>
  </si>
  <si>
    <t>NF0A3YQNH2G</t>
  </si>
  <si>
    <t>SHELL: POLYESTER/NYLON; RIB: POLYESTER/ELASTANE; LINING AND FILLING: POLYESTER</t>
  </si>
  <si>
    <t>883498664042</t>
  </si>
  <si>
    <t>TALLIA COAT TWILL TEAL</t>
  </si>
  <si>
    <t>VMTE1TIS0022</t>
  </si>
  <si>
    <t>883661889050</t>
  </si>
  <si>
    <t>BERN LONG MICROTWILL W B</t>
  </si>
  <si>
    <t>L42528M</t>
  </si>
  <si>
    <t>LONDON FOG/LF OUTERWEAR LLC</t>
  </si>
  <si>
    <t>POLYESTER/NYLON</t>
  </si>
  <si>
    <t>754117323032</t>
  </si>
  <si>
    <t>SAN GIUSEPPE 2</t>
  </si>
  <si>
    <t>HUGO BOSS FASHIONS INC</t>
  </si>
  <si>
    <t>885400278927</t>
  </si>
  <si>
    <t>COTTON-LS ARAN CN-LONG S</t>
  </si>
  <si>
    <t>192364466926</t>
  </si>
  <si>
    <t>VENTURE JACKET</t>
  </si>
  <si>
    <t>NF0A2VD35WH</t>
  </si>
  <si>
    <t>SHELL: NYLON; POCKET BAG: POLYESTER</t>
  </si>
  <si>
    <t>191797556839</t>
  </si>
  <si>
    <t>BARN JACKET</t>
  </si>
  <si>
    <t>CM821176</t>
  </si>
  <si>
    <t>SHELL: COTTON/POLYESTER; LINING: POLYESTER; KNIT: SPANDEX</t>
  </si>
  <si>
    <t>706256773247</t>
  </si>
  <si>
    <t>DIAMOND TXT TOPCOAT BASIC</t>
  </si>
  <si>
    <t>14407OTW</t>
  </si>
  <si>
    <t>BODY: POLYESTER/COTTON/WOOL/ACRYLIC/VISCOSE; LINING: POLYESTER</t>
  </si>
  <si>
    <t>8718719271377</t>
  </si>
  <si>
    <t>CHRISTMASTER</t>
  </si>
  <si>
    <t>OSUI-0020</t>
  </si>
  <si>
    <t>749194076414</t>
  </si>
  <si>
    <t>REPLEN NYLON OUTERWEAR</t>
  </si>
  <si>
    <t>40ZO200</t>
  </si>
  <si>
    <t>732998463788</t>
  </si>
  <si>
    <t>192824412340</t>
  </si>
  <si>
    <t>ARROYO FLANNEL</t>
  </si>
  <si>
    <t>NF0A3YROGE3</t>
  </si>
  <si>
    <t>8763239965</t>
  </si>
  <si>
    <t>RICK PIECED LS - CF</t>
  </si>
  <si>
    <t>78E3259</t>
  </si>
  <si>
    <t>749862004749</t>
  </si>
  <si>
    <t>COTTON STRTCH TWILL-CFBE</t>
  </si>
  <si>
    <t>192673192899</t>
  </si>
  <si>
    <t>MENS KNIT TOP 604</t>
  </si>
  <si>
    <t>6SYG0716</t>
  </si>
  <si>
    <t>STARTER/G-III APPAREL GRP</t>
  </si>
  <si>
    <t>BODY: POLYESTER; HOOD LINING: COTTON/POLYESTER</t>
  </si>
  <si>
    <t>191816185309</t>
  </si>
  <si>
    <t>541 PUT EM UP</t>
  </si>
  <si>
    <t>192379568271</t>
  </si>
  <si>
    <t>511 THE FRUG</t>
  </si>
  <si>
    <t>193238354295</t>
  </si>
  <si>
    <t>541 BLUE COMET REPAIR</t>
  </si>
  <si>
    <t>889319234739</t>
  </si>
  <si>
    <t>889319234654</t>
  </si>
  <si>
    <t>889319234616</t>
  </si>
  <si>
    <t>889319234692</t>
  </si>
  <si>
    <t>192379320084</t>
  </si>
  <si>
    <t>192379399097</t>
  </si>
  <si>
    <t>193238962865</t>
  </si>
  <si>
    <t>190416347100</t>
  </si>
  <si>
    <t>501 CARAWAY GD</t>
  </si>
  <si>
    <t>191816682938</t>
  </si>
  <si>
    <t>501 GREEN GABLE STF</t>
  </si>
  <si>
    <t>44X30</t>
  </si>
  <si>
    <t>885608939774</t>
  </si>
  <si>
    <t>715676299299</t>
  </si>
  <si>
    <t>ROSS STRIPE CLF LS 100S</t>
  </si>
  <si>
    <t>78C8889</t>
  </si>
  <si>
    <t>8763066745</t>
  </si>
  <si>
    <t>SAMMY PLAID LS STRETCH S</t>
  </si>
  <si>
    <t>78D9397</t>
  </si>
  <si>
    <t>52175693181</t>
  </si>
  <si>
    <t>Gree 505 REGULAR FIT CASH</t>
  </si>
  <si>
    <t>192531758991</t>
  </si>
  <si>
    <t>BT 541 CHIAPAS</t>
  </si>
  <si>
    <t>192531759066</t>
  </si>
  <si>
    <t>50X32</t>
  </si>
  <si>
    <t>192379570502</t>
  </si>
  <si>
    <t>BT 541 BISCUITS</t>
  </si>
  <si>
    <t>48X30</t>
  </si>
  <si>
    <t>741065089592</t>
  </si>
  <si>
    <t>732997845202</t>
  </si>
  <si>
    <t>732997845226</t>
  </si>
  <si>
    <t>732997845219</t>
  </si>
  <si>
    <t>11333327160</t>
  </si>
  <si>
    <t>BLUE INFINITE COLOR SLIM</t>
  </si>
  <si>
    <t>33K4499</t>
  </si>
  <si>
    <t>191480918906</t>
  </si>
  <si>
    <t>RIVAL FLEECE FZ HOOD</t>
  </si>
  <si>
    <t>BODY: COTTON/POLYESTER; HOOD LINER: COTTON</t>
  </si>
  <si>
    <t>636189279298</t>
  </si>
  <si>
    <t>636189280287</t>
  </si>
  <si>
    <t>636189279304</t>
  </si>
  <si>
    <t>706258795315</t>
  </si>
  <si>
    <t>636189280270</t>
  </si>
  <si>
    <t>11333724310</t>
  </si>
  <si>
    <t>LS REG NI STRETCH</t>
  </si>
  <si>
    <t>33K4545</t>
  </si>
  <si>
    <t>631712478551</t>
  </si>
  <si>
    <t>11333932173</t>
  </si>
  <si>
    <t>STEEL STRETCH RF NNI</t>
  </si>
  <si>
    <t>33K4080</t>
  </si>
  <si>
    <t>192166379493</t>
  </si>
  <si>
    <t>DIAMOND</t>
  </si>
  <si>
    <t>F970007ME</t>
  </si>
  <si>
    <t>8763077819</t>
  </si>
  <si>
    <t>78E1743</t>
  </si>
  <si>
    <t>8763075464</t>
  </si>
  <si>
    <t>8763075488</t>
  </si>
  <si>
    <t>8763075372</t>
  </si>
  <si>
    <t>8763075419</t>
  </si>
  <si>
    <t>8763075549</t>
  </si>
  <si>
    <t>715676657150</t>
  </si>
  <si>
    <t>SF CHINO</t>
  </si>
  <si>
    <t>78D3520</t>
  </si>
  <si>
    <t>8763077802</t>
  </si>
  <si>
    <t>8763077765</t>
  </si>
  <si>
    <t>8763077772</t>
  </si>
  <si>
    <t>8763075365</t>
  </si>
  <si>
    <t>8763078045</t>
  </si>
  <si>
    <t>8763077932</t>
  </si>
  <si>
    <t>8763077864</t>
  </si>
  <si>
    <t>8763077901</t>
  </si>
  <si>
    <t>8763077888</t>
  </si>
  <si>
    <t>8763078021</t>
  </si>
  <si>
    <t>8763075624</t>
  </si>
  <si>
    <t>8763103259</t>
  </si>
  <si>
    <t>ERNEST PLAID SS - CL</t>
  </si>
  <si>
    <t>78E2733</t>
  </si>
  <si>
    <t>886602748959</t>
  </si>
  <si>
    <t>501 STRETCH SEY</t>
  </si>
  <si>
    <t>192379886580</t>
  </si>
  <si>
    <t>502 PRESIDIO GREEN ST</t>
  </si>
  <si>
    <t>192531749708</t>
  </si>
  <si>
    <t>502 SINOLOA STONE</t>
  </si>
  <si>
    <t>52176603486</t>
  </si>
  <si>
    <t>505 MEDIUM CHIPPED</t>
  </si>
  <si>
    <t>52176602229</t>
  </si>
  <si>
    <t>886602913432</t>
  </si>
  <si>
    <t>550 RINSE STRETCH</t>
  </si>
  <si>
    <t>11333700871</t>
  </si>
  <si>
    <t>11333700888</t>
  </si>
  <si>
    <t>11333555532</t>
  </si>
  <si>
    <t>ORANGE/BLUE ATHLETIC CHE</t>
  </si>
  <si>
    <t>24N1506</t>
  </si>
  <si>
    <t>11333555631</t>
  </si>
  <si>
    <t>11333729346</t>
  </si>
  <si>
    <t>11333555549</t>
  </si>
  <si>
    <t>11333299269</t>
  </si>
  <si>
    <t>GREEN ATHLETIC CHECK</t>
  </si>
  <si>
    <t>24N1248</t>
  </si>
  <si>
    <t>11333555686</t>
  </si>
  <si>
    <t>11333555525</t>
  </si>
  <si>
    <t>735991637262</t>
  </si>
  <si>
    <t>11333730021</t>
  </si>
  <si>
    <t>192616676165</t>
  </si>
  <si>
    <t>CROY E 3S TT TRIC CB</t>
  </si>
  <si>
    <t>FI8175</t>
  </si>
  <si>
    <t>192824458140</t>
  </si>
  <si>
    <t>REDS PO HOODIE</t>
  </si>
  <si>
    <t>NF0A3X9JDYY</t>
  </si>
  <si>
    <t>BODY: COTTON/POLYESTER; RIB: COTTON/POLYESTER/ELASTANE</t>
  </si>
  <si>
    <t>636206766435</t>
  </si>
  <si>
    <t>11531578067</t>
  </si>
  <si>
    <t>NM1634</t>
  </si>
  <si>
    <t>192564742288</t>
  </si>
  <si>
    <t>192006873129</t>
  </si>
  <si>
    <t>69124492436</t>
  </si>
  <si>
    <t>TALLIA MEN'S FITTED TEXT</t>
  </si>
  <si>
    <t>TP9801MD</t>
  </si>
  <si>
    <t>TALLIA/CAULFEILD APPAREL GROUP LTD</t>
  </si>
  <si>
    <t>769534424859</t>
  </si>
  <si>
    <t>4-PKT SATEEN X-FIT NAVY</t>
  </si>
  <si>
    <t>40ZB673</t>
  </si>
  <si>
    <t>COTTON/LYCRA® ELASTANE</t>
  </si>
  <si>
    <t>670113595504</t>
  </si>
  <si>
    <t>RAINBLOW COLORBLOCK</t>
  </si>
  <si>
    <t>T92905</t>
  </si>
  <si>
    <t>731516032666</t>
  </si>
  <si>
    <t>6" LG TOPICAL ICON PRINT</t>
  </si>
  <si>
    <t>T92104</t>
  </si>
  <si>
    <t>670113593586</t>
  </si>
  <si>
    <t>T92502-8 BLUE SAIL</t>
  </si>
  <si>
    <t>T92502</t>
  </si>
  <si>
    <t>731516032673</t>
  </si>
  <si>
    <t>11333732933</t>
  </si>
  <si>
    <t>STRIPED RIB SIDE SNAP</t>
  </si>
  <si>
    <t>1CT0265</t>
  </si>
  <si>
    <t>11333732919</t>
  </si>
  <si>
    <t>11333880009</t>
  </si>
  <si>
    <t>192379801705</t>
  </si>
  <si>
    <t>ALPHA KHAKI ATHLETIC</t>
  </si>
  <si>
    <t>732998698722</t>
  </si>
  <si>
    <t>CORDUROY SHORT</t>
  </si>
  <si>
    <t>732998459040</t>
  </si>
  <si>
    <t>11333740198</t>
  </si>
  <si>
    <t>712848744540</t>
  </si>
  <si>
    <t>BOLD BLUE/TEAL CHECK REG</t>
  </si>
  <si>
    <t>712848744762</t>
  </si>
  <si>
    <t>11333740235</t>
  </si>
  <si>
    <t>712848695699</t>
  </si>
  <si>
    <t>PURPLE REG CHECK</t>
  </si>
  <si>
    <t>712848695712</t>
  </si>
  <si>
    <t>712848744694</t>
  </si>
  <si>
    <t>884791490895</t>
  </si>
  <si>
    <t>BLAC PERFECT CAST POLO</t>
  </si>
  <si>
    <t>52177253321</t>
  </si>
  <si>
    <t>550 MED STONEWASH SHORT</t>
  </si>
  <si>
    <t>191291650163</t>
  </si>
  <si>
    <t>B&amp;T DOWNTIME KHAKI TOBAC</t>
  </si>
  <si>
    <t>191291656233</t>
  </si>
  <si>
    <t>B&amp;T DOWNTIME KHAKI NEW B</t>
  </si>
  <si>
    <t>50X30</t>
  </si>
  <si>
    <t>191291654918</t>
  </si>
  <si>
    <t>B&amp;T DOWNTIME KHAKI DOCKE</t>
  </si>
  <si>
    <t>694786112530</t>
  </si>
  <si>
    <t>33K4279</t>
  </si>
  <si>
    <t>16698272285</t>
  </si>
  <si>
    <t>PUTTY WIDER RIM FEDORA</t>
  </si>
  <si>
    <t>MAMT11OSS9</t>
  </si>
  <si>
    <t>DORFMAN PACIFIC CO</t>
  </si>
  <si>
    <t>TOYO; BAND: COTTON</t>
  </si>
  <si>
    <t>645618579403</t>
  </si>
  <si>
    <t>CLAS PANT W/ TROUSER STBASIC</t>
  </si>
  <si>
    <t>TMF77111ME</t>
  </si>
  <si>
    <t>CL-MENS ATL</t>
  </si>
  <si>
    <t>32 DEGREES/WEATHERPROOF-MCY CONSIGN</t>
  </si>
  <si>
    <t>ALL POLYESTER</t>
  </si>
  <si>
    <t>191291299393</t>
  </si>
  <si>
    <t>DOWNTIME KHAKI SLIM T ST</t>
  </si>
  <si>
    <t>191291379347</t>
  </si>
  <si>
    <t>WORKDAY KHAKI CLS SAFARI</t>
  </si>
  <si>
    <t>191603985389</t>
  </si>
  <si>
    <t>TASSO</t>
  </si>
  <si>
    <t>3LGLW1546</t>
  </si>
  <si>
    <t>39307795821</t>
  </si>
  <si>
    <t>501 DARK STONEWASH</t>
  </si>
  <si>
    <t>608381273664</t>
  </si>
  <si>
    <t>608381270236</t>
  </si>
  <si>
    <t>608381270229</t>
  </si>
  <si>
    <t>608381273640</t>
  </si>
  <si>
    <t>608381270113</t>
  </si>
  <si>
    <t>883498662413</t>
  </si>
  <si>
    <t>LRN PV CHAR MINI</t>
  </si>
  <si>
    <t>NRTNPCPY0017</t>
  </si>
  <si>
    <t>POLYESTER/VISCOSE/LYCRA® SPANDEX</t>
  </si>
  <si>
    <t>883498662345</t>
  </si>
  <si>
    <t>883498662925</t>
  </si>
  <si>
    <t>LRN PV NAVY MINI</t>
  </si>
  <si>
    <t>NRTNPCPY0036</t>
  </si>
  <si>
    <t>192364492130</t>
  </si>
  <si>
    <t>LS FROM BEGINNING TEE</t>
  </si>
  <si>
    <t>NF0A3X97JK3</t>
  </si>
  <si>
    <t>192615331096</t>
  </si>
  <si>
    <t>SCARLET CLUB S/S POLO</t>
  </si>
  <si>
    <t>EC3028</t>
  </si>
  <si>
    <t>732996994376</t>
  </si>
  <si>
    <t>ZIP KNIT TRACK JKT</t>
  </si>
  <si>
    <t>I72806</t>
  </si>
  <si>
    <t>POLYESTER; MESH: POLYESTER/SPANDEX</t>
  </si>
  <si>
    <t>40176514826</t>
  </si>
  <si>
    <t>JOEL BACKPACK/LUNCH BAG</t>
  </si>
  <si>
    <t>125526-7647</t>
  </si>
  <si>
    <t>HIGH SIERRA/SAMSONITE LLC</t>
  </si>
  <si>
    <t>POLYETHYLENE; LINING: POLYESTER</t>
  </si>
  <si>
    <t>40176446615</t>
  </si>
  <si>
    <t>HIGH SIERRA LOOP BACKPAC</t>
  </si>
  <si>
    <t>53646-0783</t>
  </si>
  <si>
    <t>40176508733</t>
  </si>
  <si>
    <t>LOOP DAYPACK</t>
  </si>
  <si>
    <t>53646-7619</t>
  </si>
  <si>
    <t>732997264713</t>
  </si>
  <si>
    <t>29407476553</t>
  </si>
  <si>
    <t>KNIT FLAG LOGO SCARF</t>
  </si>
  <si>
    <t>H8C73220</t>
  </si>
  <si>
    <t>TOMMY HILFIGER/PVH NECKWEAR INC</t>
  </si>
  <si>
    <t>192531794135</t>
  </si>
  <si>
    <t>749194655602</t>
  </si>
  <si>
    <t>SIDE LOGO TEE</t>
  </si>
  <si>
    <t>40Q4501</t>
  </si>
  <si>
    <t>611318618889</t>
  </si>
  <si>
    <t>MODERN FIT OFF PRICE SAP</t>
  </si>
  <si>
    <t>5NFB0034</t>
  </si>
  <si>
    <t>732994174206</t>
  </si>
  <si>
    <t>732994172981</t>
  </si>
  <si>
    <t>EZRA EDV SLM ST BASIC</t>
  </si>
  <si>
    <t>747476891441</t>
  </si>
  <si>
    <t>BRIEF 3P CO/EL</t>
  </si>
  <si>
    <t>BOSS HUGO BOSS/HUGO BOSS FASHIONS</t>
  </si>
  <si>
    <t>747476890956</t>
  </si>
  <si>
    <t>TRUNK 3P CO/EL</t>
  </si>
  <si>
    <t>747476683596</t>
  </si>
  <si>
    <t>3PK BRIEF</t>
  </si>
  <si>
    <t>747476683527</t>
  </si>
  <si>
    <t>732998411826</t>
  </si>
  <si>
    <t>732998411802</t>
  </si>
  <si>
    <t>732998411819</t>
  </si>
  <si>
    <t>732998411796</t>
  </si>
  <si>
    <t>37882629982</t>
  </si>
  <si>
    <t>BOXER BRIEF</t>
  </si>
  <si>
    <t>732994112451</t>
  </si>
  <si>
    <t>CLARK JEAN BASIC</t>
  </si>
  <si>
    <t>754117003330</t>
  </si>
  <si>
    <t>3PK TRUNK</t>
  </si>
  <si>
    <t>192828452991</t>
  </si>
  <si>
    <t>BONES BEANIE</t>
  </si>
  <si>
    <t>NF0A3FNSEF1</t>
  </si>
  <si>
    <t>SHELL: ACRYLIC; LINING: MICRO-FLEECE</t>
  </si>
  <si>
    <t>732996788692</t>
  </si>
  <si>
    <t>754117003286</t>
  </si>
  <si>
    <t>26217233277</t>
  </si>
  <si>
    <t>TWILL FEDORA W DENIM BAN</t>
  </si>
  <si>
    <t>44LV020027</t>
  </si>
  <si>
    <t>732996802312</t>
  </si>
  <si>
    <t>191603609216</t>
  </si>
  <si>
    <t>OWENS PKT TEE CAVIAR</t>
  </si>
  <si>
    <t>3LGSK1382</t>
  </si>
  <si>
    <t>732994317610</t>
  </si>
  <si>
    <t>SPA STEP TWILL TXT</t>
  </si>
  <si>
    <t>100027601MN</t>
  </si>
  <si>
    <t>732994317405</t>
  </si>
  <si>
    <t>732994317399</t>
  </si>
  <si>
    <t>732994317412</t>
  </si>
  <si>
    <t>26217335445</t>
  </si>
  <si>
    <t>PLAID FLAT TOP IVY</t>
  </si>
  <si>
    <t>44LV030066</t>
  </si>
  <si>
    <t>BODY: POLYESTER/WOOL; LINING: COTTON</t>
  </si>
  <si>
    <t>16698133623</t>
  </si>
  <si>
    <t>EVOL FOAM TRUCKER CAP</t>
  </si>
  <si>
    <t>MABKN1333</t>
  </si>
  <si>
    <t>ACRYLIC/POLYESTER; MESH: POLYESTER</t>
  </si>
  <si>
    <t>767672789540</t>
  </si>
  <si>
    <t>FIRESIDE FLANNEL BMWTF10</t>
  </si>
  <si>
    <t>BASS SPORTSWEAR/VAN HEUSEN CORP</t>
  </si>
  <si>
    <t>726895478846</t>
  </si>
  <si>
    <t>726895470055</t>
  </si>
  <si>
    <t>726895478778</t>
  </si>
  <si>
    <t>726895470017</t>
  </si>
  <si>
    <t>26217338552</t>
  </si>
  <si>
    <t>WASHED BASEBALL</t>
  </si>
  <si>
    <t>44LV010093</t>
  </si>
  <si>
    <t>682875296124</t>
  </si>
  <si>
    <t>756500212688</t>
  </si>
  <si>
    <t>756500111424</t>
  </si>
  <si>
    <t>756500119116</t>
  </si>
  <si>
    <t>682875404376</t>
  </si>
  <si>
    <t>PREPPY STRIPE</t>
  </si>
  <si>
    <t>682875296117</t>
  </si>
  <si>
    <t>756500212534</t>
  </si>
  <si>
    <t>STITCH LINE STRIPE</t>
  </si>
  <si>
    <t>756500212565</t>
  </si>
  <si>
    <t>756500221499</t>
  </si>
  <si>
    <t>756500221093</t>
  </si>
  <si>
    <t>SMALL TEXTURED PAISLEY</t>
  </si>
  <si>
    <t>756500221475</t>
  </si>
  <si>
    <t>682875427375</t>
  </si>
  <si>
    <t>682875477103</t>
  </si>
  <si>
    <t>BOLD SOLID</t>
  </si>
  <si>
    <t>K7984401</t>
  </si>
  <si>
    <t>756500268159</t>
  </si>
  <si>
    <t>NIGHTFALL PAISLEY</t>
  </si>
  <si>
    <t>29407208642</t>
  </si>
  <si>
    <t>BLAC FILETTO MEDALLION</t>
  </si>
  <si>
    <t>K7973350</t>
  </si>
  <si>
    <t>682875296100</t>
  </si>
  <si>
    <t>756500224780</t>
  </si>
  <si>
    <t>756500220379</t>
  </si>
  <si>
    <t>756500220225</t>
  </si>
  <si>
    <t>756500216785</t>
  </si>
  <si>
    <t>BOLD CHECK</t>
  </si>
  <si>
    <t>K7994447</t>
  </si>
  <si>
    <t>756500391123</t>
  </si>
  <si>
    <t>MIRROR DOT SEASONAL</t>
  </si>
  <si>
    <t>K7991992</t>
  </si>
  <si>
    <t>SILK/POLYESTER/COTTON</t>
  </si>
  <si>
    <t>756500216341</t>
  </si>
  <si>
    <t>DUAL GRID CHECK</t>
  </si>
  <si>
    <t>K7994441</t>
  </si>
  <si>
    <t>29407999670</t>
  </si>
  <si>
    <t>MINI BULLSEYE</t>
  </si>
  <si>
    <t>K7981217</t>
  </si>
  <si>
    <t>636189751374</t>
  </si>
  <si>
    <t>636189751428</t>
  </si>
  <si>
    <t>732997796931</t>
  </si>
  <si>
    <t>SPR PYRAMID LINE PT</t>
  </si>
  <si>
    <t>100078717MN</t>
  </si>
  <si>
    <t>11333936720</t>
  </si>
  <si>
    <t>BACK BAY VARSITY PATCH B</t>
  </si>
  <si>
    <t>1CT0205</t>
  </si>
  <si>
    <t>726895535280</t>
  </si>
  <si>
    <t>CORE MESH SLEEVELESS BASIC</t>
  </si>
  <si>
    <t>732996676326</t>
  </si>
  <si>
    <t>MAXS FOREST DEER</t>
  </si>
  <si>
    <t>100064270MN</t>
  </si>
  <si>
    <t>ROCK RELAXED MARINR/ATL</t>
  </si>
  <si>
    <t>0D3500</t>
  </si>
  <si>
    <t>46X34</t>
  </si>
  <si>
    <t>B&amp;T &amp; ADP</t>
  </si>
  <si>
    <t>NAUTICA OPCO LLC DO NOT USE</t>
  </si>
  <si>
    <t>749372120861</t>
  </si>
  <si>
    <t>W94132-BLUE SAIL PLA</t>
  </si>
  <si>
    <t>W94132</t>
  </si>
  <si>
    <t>719250353261</t>
  </si>
  <si>
    <t>735991173562</t>
  </si>
  <si>
    <t>24N0433</t>
  </si>
  <si>
    <t>749194890980</t>
  </si>
  <si>
    <t>LIQUID TOUCH STRIPE FANC</t>
  </si>
  <si>
    <t>40Q8022</t>
  </si>
  <si>
    <t>719260885721</t>
  </si>
  <si>
    <t>MARLIN CAP</t>
  </si>
  <si>
    <t>TH34077GWP</t>
  </si>
  <si>
    <t>732998125709</t>
  </si>
  <si>
    <t>732998459026</t>
  </si>
  <si>
    <t>STREET TRACK JACKET</t>
  </si>
  <si>
    <t>192503637002</t>
  </si>
  <si>
    <t>COLORBLOCKED RUGBY CREW</t>
  </si>
  <si>
    <t>S4538Y07976</t>
  </si>
  <si>
    <t>CHAMPION</t>
  </si>
  <si>
    <t>CHAMPION/HANESBRANDS INC</t>
  </si>
  <si>
    <t>7332939513515</t>
  </si>
  <si>
    <t>USHER BELT BAG</t>
  </si>
  <si>
    <t>J111256</t>
  </si>
  <si>
    <t>WESC AMERICA INC</t>
  </si>
  <si>
    <t>735991637347</t>
  </si>
  <si>
    <t>683801460756</t>
  </si>
  <si>
    <t>TWILL FLAT FRONT SHORT</t>
  </si>
  <si>
    <t>41L2613</t>
  </si>
  <si>
    <t>191242703696</t>
  </si>
  <si>
    <t>FLEECE CARGO JOGGER</t>
  </si>
  <si>
    <t>O CLS ACT/T Z</t>
  </si>
  <si>
    <t>PUMA NORTH AMERICA</t>
  </si>
  <si>
    <t>SHELL: COTTON/POLYESTER; WAISTBAND: COTTON/ELASTANE; POCKET: COTTON</t>
  </si>
  <si>
    <t>191242704037</t>
  </si>
  <si>
    <t>886366925047</t>
  </si>
  <si>
    <t>HEITER</t>
  </si>
  <si>
    <t>1909T3369</t>
  </si>
  <si>
    <t>BORN FLY/BLUE LABEL APPAREL LLC</t>
  </si>
  <si>
    <t>636206630453</t>
  </si>
  <si>
    <t>732997845462</t>
  </si>
  <si>
    <t>DAYLIGHT CREW</t>
  </si>
  <si>
    <t>POLYESTER/NYLON/SPANDEX</t>
  </si>
  <si>
    <t>732997845455</t>
  </si>
  <si>
    <t>732998453598</t>
  </si>
  <si>
    <t>ELEVATION CREW</t>
  </si>
  <si>
    <t>SHELL AND INSERT FACE: COTTON/POLYESTER; BACK: COTTON; FILLING: POLYESTER; FAUX LEATHER TRIM</t>
  </si>
  <si>
    <t>732998453581</t>
  </si>
  <si>
    <t>884411099552</t>
  </si>
  <si>
    <t>191603957164</t>
  </si>
  <si>
    <t>OMARK</t>
  </si>
  <si>
    <t>3LGLW1638</t>
  </si>
  <si>
    <t>191603692805</t>
  </si>
  <si>
    <t>DARROW</t>
  </si>
  <si>
    <t>193524212247</t>
  </si>
  <si>
    <t>ICONIC TRICOT PANT</t>
  </si>
  <si>
    <t>755633203242</t>
  </si>
  <si>
    <t>PASS THE CHIPS TEE</t>
  </si>
  <si>
    <t>TR223803</t>
  </si>
  <si>
    <t>732997835647</t>
  </si>
  <si>
    <t>DISCO PANT</t>
  </si>
  <si>
    <t>192166378830</t>
  </si>
  <si>
    <t>PEBBLE FLEECE SOLID VEST</t>
  </si>
  <si>
    <t>F930202ME</t>
  </si>
  <si>
    <t>SML MEDREG</t>
  </si>
  <si>
    <t>192810049994</t>
  </si>
  <si>
    <t>UA LAUNCH SW 7'' SHO</t>
  </si>
  <si>
    <t>100% POLYESTERIMPORTED</t>
  </si>
  <si>
    <t>732996619477</t>
  </si>
  <si>
    <t>MERINO VNECK HRRNGBN</t>
  </si>
  <si>
    <t>100064420MN</t>
  </si>
  <si>
    <t>MERINO WOOL/NYLON</t>
  </si>
  <si>
    <t>732997846667</t>
  </si>
  <si>
    <t>LS IGGY MTLIC PLD SH</t>
  </si>
  <si>
    <t>COTTON/METALLIC</t>
  </si>
  <si>
    <t>39307210119</t>
  </si>
  <si>
    <t>SIG 2.0 CREASELESS STRT</t>
  </si>
  <si>
    <t>889319301592</t>
  </si>
  <si>
    <t>NAVY COMFORT KHAKI RLXD F</t>
  </si>
  <si>
    <t>191603961444</t>
  </si>
  <si>
    <t>CHAMA LS WOVEN</t>
  </si>
  <si>
    <t>3LGLW1572</t>
  </si>
  <si>
    <t>884411089935</t>
  </si>
  <si>
    <t>192564242023</t>
  </si>
  <si>
    <t>CHARGED COTTON 6IN 3 PK</t>
  </si>
  <si>
    <t>192166387771</t>
  </si>
  <si>
    <t>SNOWFLAKE 1/4 ZIP</t>
  </si>
  <si>
    <t>F95992ME</t>
  </si>
  <si>
    <t>191603986775</t>
  </si>
  <si>
    <t>BANDEN</t>
  </si>
  <si>
    <t>3LGSW1854</t>
  </si>
  <si>
    <t>190416926060</t>
  </si>
  <si>
    <t>EASY KHAKI STRCH CLS FF</t>
  </si>
  <si>
    <t>732998180128</t>
  </si>
  <si>
    <t>WHITFORD HYBD JOGGER BASIC</t>
  </si>
  <si>
    <t>100083106MN</t>
  </si>
  <si>
    <t>SUN + STONE-MMG</t>
  </si>
  <si>
    <t>732998180135</t>
  </si>
  <si>
    <t>732998180159</t>
  </si>
  <si>
    <t>732998180210</t>
  </si>
  <si>
    <t>732998180180</t>
  </si>
  <si>
    <t>732998180166</t>
  </si>
  <si>
    <t>732998180111</t>
  </si>
  <si>
    <t>192166628379</t>
  </si>
  <si>
    <t>LS EOE WOVEN PLAID</t>
  </si>
  <si>
    <t>S204838ME</t>
  </si>
  <si>
    <t>192166378694</t>
  </si>
  <si>
    <t>PEBBLE FLEECE 1/4 ZI</t>
  </si>
  <si>
    <t>F930248ME</t>
  </si>
  <si>
    <t>193524764920</t>
  </si>
  <si>
    <t>ESSENTIAL BIG LOGO HOOD</t>
  </si>
  <si>
    <t>193524764913</t>
  </si>
  <si>
    <t>193524764869</t>
  </si>
  <si>
    <t>732998032014</t>
  </si>
  <si>
    <t>BODY MAP TEXTURE CRD</t>
  </si>
  <si>
    <t>100073570MN</t>
  </si>
  <si>
    <t>732996855325</t>
  </si>
  <si>
    <t>732998256878</t>
  </si>
  <si>
    <t>SHLDR STRP TRCK JCKT</t>
  </si>
  <si>
    <t>IDEOLOGY MENS</t>
  </si>
  <si>
    <t>IDEOLOGY-MMG/ACTIVEWEAR FASHION</t>
  </si>
  <si>
    <t>732998256885</t>
  </si>
  <si>
    <t>884411424989</t>
  </si>
  <si>
    <t>STANDING MICKEY</t>
  </si>
  <si>
    <t>2DNY5523</t>
  </si>
  <si>
    <t>884411425009</t>
  </si>
  <si>
    <t>732997264485</t>
  </si>
  <si>
    <t>MERINO SOLID 1/4 ZIP</t>
  </si>
  <si>
    <t>100062317MN</t>
  </si>
  <si>
    <t>732997264676</t>
  </si>
  <si>
    <t>732997265277</t>
  </si>
  <si>
    <t>732997264379</t>
  </si>
  <si>
    <t>192503540210</t>
  </si>
  <si>
    <t>3PK BOXERS</t>
  </si>
  <si>
    <t>RCWBH3NXO</t>
  </si>
  <si>
    <t>POLO RALPH LAUREN/HANESBRANDS INC</t>
  </si>
  <si>
    <t>732997889473</t>
  </si>
  <si>
    <t>732997840177</t>
  </si>
  <si>
    <t>840062900432</t>
  </si>
  <si>
    <t>SALTWATER SERIES FLEECE</t>
  </si>
  <si>
    <t>GMFSALT-HRG</t>
  </si>
  <si>
    <t>OUTDR ACTIVE</t>
  </si>
  <si>
    <t>GILLZ LLC</t>
  </si>
  <si>
    <t>840062900449</t>
  </si>
  <si>
    <t>193524604134</t>
  </si>
  <si>
    <t>AOP FLORAL TEE</t>
  </si>
  <si>
    <t>COTTON; RIBBING: COTTON/ELASTANE</t>
  </si>
  <si>
    <t>828570570187</t>
  </si>
  <si>
    <t>ESSENTIAL THERMAL</t>
  </si>
  <si>
    <t>M917VBES</t>
  </si>
  <si>
    <t>BILLABONG/BOARDRIDERS WHOLESALE LLC</t>
  </si>
  <si>
    <t>732996545431</t>
  </si>
  <si>
    <t>SFR SMALL HERRINGBON</t>
  </si>
  <si>
    <t>100049655MN</t>
  </si>
  <si>
    <t>MMG-TASSO ELBA</t>
  </si>
  <si>
    <t>SUPIMA COTTON</t>
  </si>
  <si>
    <t>732995040548</t>
  </si>
  <si>
    <t>SPR SMALL HERRINGBON</t>
  </si>
  <si>
    <t>100047294MN</t>
  </si>
  <si>
    <t>MADE IN USA AND IMPORTED</t>
  </si>
  <si>
    <t>ALL:COTTON</t>
  </si>
  <si>
    <t>732995040456</t>
  </si>
  <si>
    <t>732995040432</t>
  </si>
  <si>
    <t>732995040470</t>
  </si>
  <si>
    <t>732995040500</t>
  </si>
  <si>
    <t>732995040531</t>
  </si>
  <si>
    <t>732998428992</t>
  </si>
  <si>
    <t>ROWLAND CARPNTR PNT BASIC</t>
  </si>
  <si>
    <t>100083102MN</t>
  </si>
  <si>
    <t>732998428947</t>
  </si>
  <si>
    <t>732998428862</t>
  </si>
  <si>
    <t>732998428893</t>
  </si>
  <si>
    <t>732998428923</t>
  </si>
  <si>
    <t>732998428879</t>
  </si>
  <si>
    <t>732998428886</t>
  </si>
  <si>
    <t>732998428916</t>
  </si>
  <si>
    <t>732998428961</t>
  </si>
  <si>
    <t>732998428909</t>
  </si>
  <si>
    <t>732998428978</t>
  </si>
  <si>
    <t>732998429005</t>
  </si>
  <si>
    <t>192166384602</t>
  </si>
  <si>
    <t>V-NECK SOFT TOUCH</t>
  </si>
  <si>
    <t>F95993ME</t>
  </si>
  <si>
    <t>732997268155</t>
  </si>
  <si>
    <t>MERINO TURTLENECK</t>
  </si>
  <si>
    <t>100064086MN</t>
  </si>
  <si>
    <t>MERINO WOOL/ACRYLIC</t>
  </si>
  <si>
    <t>732994204637</t>
  </si>
  <si>
    <t>32MM FE BOMBAY BASIC</t>
  </si>
  <si>
    <t>100033413MN</t>
  </si>
  <si>
    <t>TASSO ELBA BELT/RANDA ACCESSORIES</t>
  </si>
  <si>
    <t>732996447865</t>
  </si>
  <si>
    <t>LUCA PANT</t>
  </si>
  <si>
    <t>100071123MN</t>
  </si>
  <si>
    <t>732998745563</t>
  </si>
  <si>
    <t>LS VERTICL STRP RGBY</t>
  </si>
  <si>
    <t>100087963MN</t>
  </si>
  <si>
    <t>732998745587</t>
  </si>
  <si>
    <t>732998745594</t>
  </si>
  <si>
    <t>732998745600</t>
  </si>
  <si>
    <t>732998745570</t>
  </si>
  <si>
    <t>732997839690</t>
  </si>
  <si>
    <t>CRINKLE LS CREW</t>
  </si>
  <si>
    <t>100073574MN</t>
  </si>
  <si>
    <t>722947212529</t>
  </si>
  <si>
    <t>38MM FLAT STRAP W/ STTCH</t>
  </si>
  <si>
    <t>CALVIN KLEIN/CENTRIC ACCESSORIES</t>
  </si>
  <si>
    <t>732997887479</t>
  </si>
  <si>
    <t>732997291764</t>
  </si>
  <si>
    <t>L/S MARC PLAID SHIRT</t>
  </si>
  <si>
    <t>732998034704</t>
  </si>
  <si>
    <t>FULL ZIP MARLED SWTR</t>
  </si>
  <si>
    <t>100081212MN</t>
  </si>
  <si>
    <t>COTTON/ACRYLIC</t>
  </si>
  <si>
    <t>791272877765</t>
  </si>
  <si>
    <t>LINDON WAIST BAG</t>
  </si>
  <si>
    <t>LA932626</t>
  </si>
  <si>
    <t>FILA USA INC</t>
  </si>
  <si>
    <t>732998745266</t>
  </si>
  <si>
    <t>LS CHSTBLOCK 1/4 ZIP</t>
  </si>
  <si>
    <t>100087958MN</t>
  </si>
  <si>
    <t>MED PINK</t>
  </si>
  <si>
    <t>732998745242</t>
  </si>
  <si>
    <t>LS TWO TONE 1/4 ZIP</t>
  </si>
  <si>
    <t>100087957MN</t>
  </si>
  <si>
    <t>732998745235</t>
  </si>
  <si>
    <t>732998745280</t>
  </si>
  <si>
    <t>732998745228</t>
  </si>
  <si>
    <t>732998745211</t>
  </si>
  <si>
    <t>732997262009</t>
  </si>
  <si>
    <t>MERINO SOLID V-NECK</t>
  </si>
  <si>
    <t>100062315MN</t>
  </si>
  <si>
    <t>732997262078</t>
  </si>
  <si>
    <t>732997262108</t>
  </si>
  <si>
    <t>732997262016</t>
  </si>
  <si>
    <t>732997412817</t>
  </si>
  <si>
    <t>SS BANDANA BORDER</t>
  </si>
  <si>
    <t>100063251MN</t>
  </si>
  <si>
    <t>RAYON</t>
  </si>
  <si>
    <t>84971167849</t>
  </si>
  <si>
    <t>SS DIAGONAL STRIPE JACQD</t>
  </si>
  <si>
    <t>PVKSA007MM</t>
  </si>
  <si>
    <t>GOLF</t>
  </si>
  <si>
    <t>PGA TOUR/SUPREME/PERRY ELLIS</t>
  </si>
  <si>
    <t>11333934252</t>
  </si>
  <si>
    <t>POP COLOR EDGE RUBBER PA</t>
  </si>
  <si>
    <t>1CK0440</t>
  </si>
  <si>
    <t>11333934191</t>
  </si>
  <si>
    <t>MARLED REVERSE JERSEY BE</t>
  </si>
  <si>
    <t>1CK0121</t>
  </si>
  <si>
    <t>706421357388</t>
  </si>
  <si>
    <t>BLAC FIFTH AVENUE BASIC</t>
  </si>
  <si>
    <t>JS00TAN1008</t>
  </si>
  <si>
    <t>732998411277</t>
  </si>
  <si>
    <t>PRNTD BLCKD SLB HOOD BASIC</t>
  </si>
  <si>
    <t>100083779MN</t>
  </si>
  <si>
    <t>732997168028</t>
  </si>
  <si>
    <t>STRIPED TURTLENECK</t>
  </si>
  <si>
    <t>100069806MN</t>
  </si>
  <si>
    <t>732997168004</t>
  </si>
  <si>
    <t>603679457658</t>
  </si>
  <si>
    <t>3 PACK MICRO TRUNK</t>
  </si>
  <si>
    <t>DKNY/H BEST LTD</t>
  </si>
  <si>
    <t>15712033352</t>
  </si>
  <si>
    <t>CENTER EMBOSS</t>
  </si>
  <si>
    <t>1P36017</t>
  </si>
  <si>
    <t>LEATHER; LINING: BONDED LEATHER</t>
  </si>
  <si>
    <t>15712033369</t>
  </si>
  <si>
    <t>15712033338</t>
  </si>
  <si>
    <t>732998423973</t>
  </si>
  <si>
    <t>LS LEO PLAID SHIRT</t>
  </si>
  <si>
    <t>732996804194</t>
  </si>
  <si>
    <t>NAVY/RED/WHITE FLANN BASIC</t>
  </si>
  <si>
    <t>100072736MN</t>
  </si>
  <si>
    <t>732996803999</t>
  </si>
  <si>
    <t>BLK/WHITE FLANNEL SE BASIC</t>
  </si>
  <si>
    <t>100072735MN</t>
  </si>
  <si>
    <t>732996803821</t>
  </si>
  <si>
    <t>RED PLAID FLANNEL BASIC</t>
  </si>
  <si>
    <t>100075055MN</t>
  </si>
  <si>
    <t>732996803654</t>
  </si>
  <si>
    <t>NAVY PINSTRE FLANNEL BASIC</t>
  </si>
  <si>
    <t>100075056MN</t>
  </si>
  <si>
    <t>732996803906</t>
  </si>
  <si>
    <t>732996803982</t>
  </si>
  <si>
    <t>732996804323</t>
  </si>
  <si>
    <t>BLACK/GREEN FLANNEL BASIC</t>
  </si>
  <si>
    <t>100072737MN</t>
  </si>
  <si>
    <t>732996804347</t>
  </si>
  <si>
    <t>732996803616</t>
  </si>
  <si>
    <t>732996802336</t>
  </si>
  <si>
    <t>NAVY/HUNTER FLANNEL BASIC</t>
  </si>
  <si>
    <t>100072738MN</t>
  </si>
  <si>
    <t>732996803845</t>
  </si>
  <si>
    <t>732996802343</t>
  </si>
  <si>
    <t>732995576313</t>
  </si>
  <si>
    <t>732998133902</t>
  </si>
  <si>
    <t>LGHTWGHT RIB 1/4 ZIP</t>
  </si>
  <si>
    <t>100083013MN</t>
  </si>
  <si>
    <t>732998133889</t>
  </si>
  <si>
    <t>732998134169</t>
  </si>
  <si>
    <t>732998674856</t>
  </si>
  <si>
    <t>VALA DOBBY CHECK</t>
  </si>
  <si>
    <t>100088765MN</t>
  </si>
  <si>
    <t>732998674849</t>
  </si>
  <si>
    <t>732998674870</t>
  </si>
  <si>
    <t>26217569598</t>
  </si>
  <si>
    <t>STRETCH PIQUE FLAT TOP I</t>
  </si>
  <si>
    <t>44LV030080</t>
  </si>
  <si>
    <t>633716961855</t>
  </si>
  <si>
    <t>TOP LOADER</t>
  </si>
  <si>
    <t>9A8361A</t>
  </si>
  <si>
    <t>LEVI'S/HADDAD APPAREL GROUP</t>
  </si>
  <si>
    <t>POLYESTER; LINING: POLYESTER</t>
  </si>
  <si>
    <t>732998429616</t>
  </si>
  <si>
    <t>LS ZAID SCRBLE SHRT</t>
  </si>
  <si>
    <t>888987462499</t>
  </si>
  <si>
    <t>VINCENT PLAID VALET KIT</t>
  </si>
  <si>
    <t>6BV9-4004</t>
  </si>
  <si>
    <t>MENS GIFTS/JE</t>
  </si>
  <si>
    <t>POLYESTER/COTTON; TRIM: POLYURETHANE; LINING: COTTON</t>
  </si>
  <si>
    <t>732994333023</t>
  </si>
  <si>
    <t>RPLN LS MODERN SOLID BASIC</t>
  </si>
  <si>
    <t>100009538A</t>
  </si>
  <si>
    <t>732994333061</t>
  </si>
  <si>
    <t>732994333047</t>
  </si>
  <si>
    <t>756500210264</t>
  </si>
  <si>
    <t>756500206038</t>
  </si>
  <si>
    <t>756500210073</t>
  </si>
  <si>
    <t>756500210103</t>
  </si>
  <si>
    <t>756500200524</t>
  </si>
  <si>
    <t>756500382015</t>
  </si>
  <si>
    <t>756500216549</t>
  </si>
  <si>
    <t>SMALL TRI-COLOR GING</t>
  </si>
  <si>
    <t>7K994533</t>
  </si>
  <si>
    <t>SILK/POLYESTER/VISCOSE</t>
  </si>
  <si>
    <t>756500219021</t>
  </si>
  <si>
    <t>SMALL GEO CUBE</t>
  </si>
  <si>
    <t>7K794314</t>
  </si>
  <si>
    <t>756500204843</t>
  </si>
  <si>
    <t>SATIN DASH WITH PIP</t>
  </si>
  <si>
    <t>7K994410</t>
  </si>
  <si>
    <t>756500218963</t>
  </si>
  <si>
    <t>756500203587</t>
  </si>
  <si>
    <t>MIRRORED TRIANGLES</t>
  </si>
  <si>
    <t>7K994315</t>
  </si>
  <si>
    <t>756500222632</t>
  </si>
  <si>
    <t>MINI GRID</t>
  </si>
  <si>
    <t>7K981502</t>
  </si>
  <si>
    <t>756500205550</t>
  </si>
  <si>
    <t>SNOWFLAKE NEAT</t>
  </si>
  <si>
    <t>756500153592</t>
  </si>
  <si>
    <t>SMALL ANGULAR GEO PR</t>
  </si>
  <si>
    <t>7K793309</t>
  </si>
  <si>
    <t>756500203563</t>
  </si>
  <si>
    <t>756500208599</t>
  </si>
  <si>
    <t>TEXTURAL GROUND AND</t>
  </si>
  <si>
    <t>7K994313</t>
  </si>
  <si>
    <t>756500206090</t>
  </si>
  <si>
    <t>MULTI BOSTON PLAID</t>
  </si>
  <si>
    <t>756500200975</t>
  </si>
  <si>
    <t>756500202467</t>
  </si>
  <si>
    <t>756500203631</t>
  </si>
  <si>
    <t>756500209725</t>
  </si>
  <si>
    <t>ASYMMETRIC SATIN WEF</t>
  </si>
  <si>
    <t>7K994409</t>
  </si>
  <si>
    <t>756500216075</t>
  </si>
  <si>
    <t>SQUARE TEXTURE GROUN</t>
  </si>
  <si>
    <t>7K994531</t>
  </si>
  <si>
    <t>756500209695</t>
  </si>
  <si>
    <t>756500203655</t>
  </si>
  <si>
    <t>756500215559</t>
  </si>
  <si>
    <t>TRI-COLOR MEDIUM GRI</t>
  </si>
  <si>
    <t>7K994528</t>
  </si>
  <si>
    <t>756500203617</t>
  </si>
  <si>
    <t>756500203556</t>
  </si>
  <si>
    <t>756500210097</t>
  </si>
  <si>
    <t>756500215474</t>
  </si>
  <si>
    <t>ASYMMETRIC GRID</t>
  </si>
  <si>
    <t>7K994527</t>
  </si>
  <si>
    <t>756500205567</t>
  </si>
  <si>
    <t>756500204850</t>
  </si>
  <si>
    <t>756500215542</t>
  </si>
  <si>
    <t>756500216662</t>
  </si>
  <si>
    <t>PEBBLE GINGHAM</t>
  </si>
  <si>
    <t>7K994534</t>
  </si>
  <si>
    <t>756500204874</t>
  </si>
  <si>
    <t>756500209350</t>
  </si>
  <si>
    <t>ASYMMETRIC SQUARES</t>
  </si>
  <si>
    <t>7K994316</t>
  </si>
  <si>
    <t>756500219441</t>
  </si>
  <si>
    <t>GLENCHECK WITH DOT P</t>
  </si>
  <si>
    <t>7K993524</t>
  </si>
  <si>
    <t>756500218994</t>
  </si>
  <si>
    <t>LT/PAS PUR</t>
  </si>
  <si>
    <t>756500203594</t>
  </si>
  <si>
    <t>756500204881</t>
  </si>
  <si>
    <t>756500205543</t>
  </si>
  <si>
    <t>756500200647</t>
  </si>
  <si>
    <t>29407697194</t>
  </si>
  <si>
    <t>BICOLOR NEAT</t>
  </si>
  <si>
    <t>7K981308</t>
  </si>
  <si>
    <t>SILK/POLY</t>
  </si>
  <si>
    <t>756500215573</t>
  </si>
  <si>
    <t>756500205482</t>
  </si>
  <si>
    <t>756500210080</t>
  </si>
  <si>
    <t>756500207141</t>
  </si>
  <si>
    <t>756500210172</t>
  </si>
  <si>
    <t>756500210271</t>
  </si>
  <si>
    <t>888987451721</t>
  </si>
  <si>
    <t>BROOKFORD STRIPE</t>
  </si>
  <si>
    <t>2PC9-7040</t>
  </si>
  <si>
    <t>888987451738</t>
  </si>
  <si>
    <t>888987452445</t>
  </si>
  <si>
    <t>PORTAGE NEAT</t>
  </si>
  <si>
    <t>2PC9-3047</t>
  </si>
  <si>
    <t>888987451745</t>
  </si>
  <si>
    <t>888987417390</t>
  </si>
  <si>
    <t>QUINTA CHECK</t>
  </si>
  <si>
    <t>2PC9-2003</t>
  </si>
  <si>
    <t>888987451646</t>
  </si>
  <si>
    <t>BAYOU MINI</t>
  </si>
  <si>
    <t>2PC9-3007</t>
  </si>
  <si>
    <t>888987452599</t>
  </si>
  <si>
    <t>SAVIN HERRINGBONE TI</t>
  </si>
  <si>
    <t>2PC9-7049</t>
  </si>
  <si>
    <t>888987452469</t>
  </si>
  <si>
    <t>888987451714</t>
  </si>
  <si>
    <t>696732766200</t>
  </si>
  <si>
    <t>HELLO KITTY</t>
  </si>
  <si>
    <t>H3AL2012MA</t>
  </si>
  <si>
    <t>RIPPLE JUNCTION DESIGN CO</t>
  </si>
  <si>
    <t>732997200506</t>
  </si>
  <si>
    <t>ELITE TURTLENECK</t>
  </si>
  <si>
    <t>636189751572</t>
  </si>
  <si>
    <t>726895465099</t>
  </si>
  <si>
    <t>640013381903</t>
  </si>
  <si>
    <t>640013637642</t>
  </si>
  <si>
    <t>28</t>
  </si>
  <si>
    <t>732996462844</t>
  </si>
  <si>
    <t>FRNCHRIB 1/4 ZIP OPD</t>
  </si>
  <si>
    <t>100062520MN</t>
  </si>
  <si>
    <t>732996462035</t>
  </si>
  <si>
    <t>FRNCHRIB 1/4 ZIP SLD</t>
  </si>
  <si>
    <t>100062519MN</t>
  </si>
  <si>
    <t>732996462141</t>
  </si>
  <si>
    <t>732996462011</t>
  </si>
  <si>
    <t>732998695318</t>
  </si>
  <si>
    <t>LS WALTON PLAID</t>
  </si>
  <si>
    <t>100089170MN</t>
  </si>
  <si>
    <t>732998695271</t>
  </si>
  <si>
    <t>888987462468</t>
  </si>
  <si>
    <t>CAMO PRINT MODERN DOPP K</t>
  </si>
  <si>
    <t>6BV9-3002</t>
  </si>
  <si>
    <t>POLYESTER; COATING: POLYURETHANE</t>
  </si>
  <si>
    <t>888987451776</t>
  </si>
  <si>
    <t>888987451790</t>
  </si>
  <si>
    <t>888987451813</t>
  </si>
  <si>
    <t>732996676098</t>
  </si>
  <si>
    <t>SPR FASHION SOLID</t>
  </si>
  <si>
    <t>100069981MN</t>
  </si>
  <si>
    <t>732996676128</t>
  </si>
  <si>
    <t>732996676180</t>
  </si>
  <si>
    <t>732996542935</t>
  </si>
  <si>
    <t>SPS PYRAMID LINE PT</t>
  </si>
  <si>
    <t>100063411MN</t>
  </si>
  <si>
    <t>603679456859</t>
  </si>
  <si>
    <t>DKNY TOWER 4PK BOXER BRIE</t>
  </si>
  <si>
    <t>603679436523</t>
  </si>
  <si>
    <t>3+1 BONUS PACK COTTON BO</t>
  </si>
  <si>
    <t>717312700510</t>
  </si>
  <si>
    <t>PGA AIRFLUX SOLID POLO</t>
  </si>
  <si>
    <t>PVKS9098DS</t>
  </si>
  <si>
    <t>732997819050</t>
  </si>
  <si>
    <t>TRIVENTO STRIPE</t>
  </si>
  <si>
    <t>TASSO ELBA/BESPOKE FASHION-TIES</t>
  </si>
  <si>
    <t>732997819081</t>
  </si>
  <si>
    <t>732997819364</t>
  </si>
  <si>
    <t>CAPUA NEAT</t>
  </si>
  <si>
    <t>732997622100</t>
  </si>
  <si>
    <t>ROCCO PAISLEY</t>
  </si>
  <si>
    <t>732997819128</t>
  </si>
  <si>
    <t>GENOA PAISLEY</t>
  </si>
  <si>
    <t>732997819302</t>
  </si>
  <si>
    <t>RAVENNA MEDALLION</t>
  </si>
  <si>
    <t>732997819111</t>
  </si>
  <si>
    <t>732997819142</t>
  </si>
  <si>
    <t>732996789002</t>
  </si>
  <si>
    <t>COMO MEDALLION</t>
  </si>
  <si>
    <t>SILK/WOOL/COTTON</t>
  </si>
  <si>
    <t>732997819371</t>
  </si>
  <si>
    <t>732997819333</t>
  </si>
  <si>
    <t>732997819067</t>
  </si>
  <si>
    <t>732997819319</t>
  </si>
  <si>
    <t>603679459423</t>
  </si>
  <si>
    <t>2 PACK MODAL TRUNK</t>
  </si>
  <si>
    <t>MODAL/SPANDEX</t>
  </si>
  <si>
    <t>603679450420</t>
  </si>
  <si>
    <t>NAUTICA 3PK COTTON KNIT B</t>
  </si>
  <si>
    <t>X60307</t>
  </si>
  <si>
    <t>NAUTICA/H BEST LIMITED</t>
  </si>
  <si>
    <t>37882835383</t>
  </si>
  <si>
    <t>BIKINI</t>
  </si>
  <si>
    <t>JOCKEY INTERNATIONAL</t>
  </si>
  <si>
    <t>37882835420</t>
  </si>
  <si>
    <t>756500194359</t>
  </si>
  <si>
    <t>LINEAR GRID</t>
  </si>
  <si>
    <t>M6994541</t>
  </si>
  <si>
    <t>KENNETH COLE REACT/PVH NECKWEAR INC</t>
  </si>
  <si>
    <t>716106898884</t>
  </si>
  <si>
    <t>ADI TEAM ISSUE FOLD BEAN</t>
  </si>
  <si>
    <t>ACTIVE GEAR</t>
  </si>
  <si>
    <t>ADIDAS/AGRON INC</t>
  </si>
  <si>
    <t>716106898778</t>
  </si>
  <si>
    <t>ADI ECLIPSE REV BEANIE</t>
  </si>
  <si>
    <t>716106898747</t>
  </si>
  <si>
    <t>732997175095</t>
  </si>
  <si>
    <t>NAVY/HUNTER FLEECE</t>
  </si>
  <si>
    <t>100072734MN</t>
  </si>
  <si>
    <t>TOP: POLYESTER/COTTON; PANTS: POLYESTER</t>
  </si>
  <si>
    <t>732997175170</t>
  </si>
  <si>
    <t>BLACK/MAROON FLEECE</t>
  </si>
  <si>
    <t>100075037MN</t>
  </si>
  <si>
    <t>732997175187</t>
  </si>
  <si>
    <t>732997175071</t>
  </si>
  <si>
    <t>732997175088</t>
  </si>
  <si>
    <t>15712024190</t>
  </si>
  <si>
    <t>FLASK</t>
  </si>
  <si>
    <t>TPF1001</t>
  </si>
  <si>
    <t>PORTFOLIO/PERRY ELLIS MENSWEAR INC</t>
  </si>
  <si>
    <t>FLASK: STAINLESS STEEL; WRAP: POLYURETHANE</t>
  </si>
  <si>
    <t>732994282550</t>
  </si>
  <si>
    <t>LS SPACEDYE STRIPE</t>
  </si>
  <si>
    <t>18601LSK</t>
  </si>
  <si>
    <t>608381191401</t>
  </si>
  <si>
    <t>L/S V-NECK CARDIGAN BASIC</t>
  </si>
  <si>
    <t>608381184069</t>
  </si>
  <si>
    <t>608381184083</t>
  </si>
  <si>
    <t>608381191449</t>
  </si>
  <si>
    <t>608381182522</t>
  </si>
  <si>
    <t>608381185967</t>
  </si>
  <si>
    <t>608381182508</t>
  </si>
  <si>
    <t>608381184106</t>
  </si>
  <si>
    <t>608381182539</t>
  </si>
  <si>
    <t>608381182546</t>
  </si>
  <si>
    <t>608381185950</t>
  </si>
  <si>
    <t>15712021434</t>
  </si>
  <si>
    <t>AMIGO DRESS</t>
  </si>
  <si>
    <t>1P32051</t>
  </si>
  <si>
    <t>METAL BUCKLE WITH COWHIDE STRAP</t>
  </si>
  <si>
    <t>15712021427</t>
  </si>
  <si>
    <t>888987457921</t>
  </si>
  <si>
    <t>CAMO PRINT RIPSTOP LARGE</t>
  </si>
  <si>
    <t>6BF9-3003</t>
  </si>
  <si>
    <t>886066543732</t>
  </si>
  <si>
    <t>BLAC 6PPK BAND COTTON NBASIC</t>
  </si>
  <si>
    <t>SX5176</t>
  </si>
  <si>
    <t>NIKE</t>
  </si>
  <si>
    <t>MADE IN USA</t>
  </si>
  <si>
    <t>886066543695</t>
  </si>
  <si>
    <t>WHIT 6PPK BAND COTTON LBASIC</t>
  </si>
  <si>
    <t>SX5174</t>
  </si>
  <si>
    <t>COTTON/POLYESTER/SPANDEX/NYLON</t>
  </si>
  <si>
    <t>886066543626</t>
  </si>
  <si>
    <t>WHIT 6PPK BAND COTTON CBASIC</t>
  </si>
  <si>
    <t>SX5172</t>
  </si>
  <si>
    <t>766380836683</t>
  </si>
  <si>
    <t>15322DB436</t>
  </si>
  <si>
    <t>766380836645</t>
  </si>
  <si>
    <t>766380836638</t>
  </si>
  <si>
    <t>15322BI436</t>
  </si>
  <si>
    <t>26217274317</t>
  </si>
  <si>
    <t>32MM CR REV PLAQUE BASIC</t>
  </si>
  <si>
    <t>11AF02X009</t>
  </si>
  <si>
    <t>22653539089</t>
  </si>
  <si>
    <t>MNS FATHERS DAY M M</t>
  </si>
  <si>
    <t>5047M</t>
  </si>
  <si>
    <t>SOCKS: POLYESTER/NYLON/VISCOSE/ACRYLIC; MUG: CERAMIC</t>
  </si>
  <si>
    <t>888987457853</t>
  </si>
  <si>
    <t>CLASSIC SOLID OXFORD MIN</t>
  </si>
  <si>
    <t>6BM9-3002</t>
  </si>
  <si>
    <t>888987457860</t>
  </si>
  <si>
    <t>CLASSIC SOLID RIPSTOP MI</t>
  </si>
  <si>
    <t>6BM9-3003</t>
  </si>
  <si>
    <t>15712006301</t>
  </si>
  <si>
    <t>RECTANGLE CUFFLINK AND T</t>
  </si>
  <si>
    <t>GPCB214M</t>
  </si>
  <si>
    <t>BRASS</t>
  </si>
  <si>
    <t>732997813317</t>
  </si>
  <si>
    <t>732997813454</t>
  </si>
  <si>
    <t>CLUB PLAID</t>
  </si>
  <si>
    <t>732997813331</t>
  </si>
  <si>
    <t>SALEM NEAT</t>
  </si>
  <si>
    <t>732998284390</t>
  </si>
  <si>
    <t>LINKED NEAT</t>
  </si>
  <si>
    <t>732997813195</t>
  </si>
  <si>
    <t>732998284444</t>
  </si>
  <si>
    <t>ROSEWOOD STRIPE</t>
  </si>
  <si>
    <t>732998284475</t>
  </si>
  <si>
    <t>732997813188</t>
  </si>
  <si>
    <t>732997813348</t>
  </si>
  <si>
    <t>732998284468</t>
  </si>
  <si>
    <t>716068619497</t>
  </si>
  <si>
    <t>GOT GOLD LOGO AD T</t>
  </si>
  <si>
    <t>THAS2066</t>
  </si>
  <si>
    <t>NEW WORLD SALES</t>
  </si>
  <si>
    <t>846490021121</t>
  </si>
  <si>
    <t>BLK DAILY BEANIE BASIC</t>
  </si>
  <si>
    <t>NF00001</t>
  </si>
  <si>
    <t>ACTION SPORTS</t>
  </si>
  <si>
    <t>NEFF LLC</t>
  </si>
  <si>
    <t>84638856017</t>
  </si>
  <si>
    <t>SHUTTLE OVER ATMOSPHERE</t>
  </si>
  <si>
    <t>76-711-37</t>
  </si>
  <si>
    <t>CHANGES</t>
  </si>
  <si>
    <t>192166357620</t>
  </si>
  <si>
    <t>192166357408</t>
  </si>
  <si>
    <t>192166357552</t>
  </si>
  <si>
    <t>192166358009</t>
  </si>
  <si>
    <t>192166357460</t>
  </si>
  <si>
    <t>192166357910</t>
  </si>
  <si>
    <t>192166357187</t>
  </si>
  <si>
    <t>BASELAYER LS MOCKNECK PL</t>
  </si>
  <si>
    <t>TMF98480ME</t>
  </si>
  <si>
    <t>192166357293</t>
  </si>
  <si>
    <t>192166357996</t>
  </si>
  <si>
    <t>192166444245</t>
  </si>
  <si>
    <t>192166444252</t>
  </si>
  <si>
    <t>192166357606</t>
  </si>
  <si>
    <t>192166357309</t>
  </si>
  <si>
    <t>192166357392</t>
  </si>
  <si>
    <t>192166444306</t>
  </si>
  <si>
    <t>192166357590</t>
  </si>
  <si>
    <t>192166065167</t>
  </si>
  <si>
    <t>BASELAYER LEGGING PLUS (</t>
  </si>
  <si>
    <t>TMF88418ME</t>
  </si>
  <si>
    <t>192166357149</t>
  </si>
  <si>
    <t>192166358023</t>
  </si>
  <si>
    <t>192166357569</t>
  </si>
  <si>
    <t>192166357613</t>
  </si>
  <si>
    <t>192166357927</t>
  </si>
  <si>
    <t>192166357354</t>
  </si>
  <si>
    <t>192166444207</t>
  </si>
  <si>
    <t>192166357316</t>
  </si>
  <si>
    <t>192166357415</t>
  </si>
  <si>
    <t>192166357576</t>
  </si>
  <si>
    <t>15712031891</t>
  </si>
  <si>
    <t>SMOOTH PASSCASE</t>
  </si>
  <si>
    <t>WP20076</t>
  </si>
  <si>
    <t>MENS LEATHER</t>
  </si>
  <si>
    <t>888987471361</t>
  </si>
  <si>
    <t>CHAMBRAY ADHESIVE CARD C</t>
  </si>
  <si>
    <t>6BG9-3004</t>
  </si>
  <si>
    <t>98593542120</t>
  </si>
  <si>
    <t>PIMA COTTON RUGBY STRIPE</t>
  </si>
  <si>
    <t>829245PEP</t>
  </si>
  <si>
    <t>PIMA COTTON/NYLON/POLYESTER/SPANDEX</t>
  </si>
  <si>
    <t>98593542113</t>
  </si>
  <si>
    <t>98593542151</t>
  </si>
  <si>
    <t>PIMA COTTON TEXTURED CHE</t>
  </si>
  <si>
    <t>829248PEP</t>
  </si>
  <si>
    <t>732994834995</t>
  </si>
  <si>
    <t>HORIZONTAL BLOCKS</t>
  </si>
  <si>
    <t>100051109MN</t>
  </si>
  <si>
    <t>191291066902</t>
  </si>
  <si>
    <t>CLASSIC BATWING ICON</t>
  </si>
  <si>
    <t>84971927863</t>
  </si>
  <si>
    <t>TIMO TIMOTHY</t>
  </si>
  <si>
    <t>DP32030</t>
  </si>
  <si>
    <t>38 REG</t>
  </si>
  <si>
    <t>622987462505</t>
  </si>
  <si>
    <t>NEWMAN STRIPE VALET KIT</t>
  </si>
  <si>
    <t>6BV9-4003</t>
  </si>
  <si>
    <t>888987472368</t>
  </si>
  <si>
    <t>SALT SOLID TIE</t>
  </si>
  <si>
    <t>3NC0-1385</t>
  </si>
  <si>
    <t>NAUTICA/BESPOKE FASHION</t>
  </si>
  <si>
    <t>888987472757</t>
  </si>
  <si>
    <t>WHITNEY MINI TIE</t>
  </si>
  <si>
    <t>3NC0-3359</t>
  </si>
  <si>
    <t>888987472672</t>
  </si>
  <si>
    <t>MANZANITA CHECK TIE</t>
  </si>
  <si>
    <t>3NC0-3356</t>
  </si>
  <si>
    <t>888987472351</t>
  </si>
  <si>
    <t>888987472375</t>
  </si>
  <si>
    <t>ORUST GRID TIE</t>
  </si>
  <si>
    <t>3NC0-3309</t>
  </si>
  <si>
    <t>888987472405</t>
  </si>
  <si>
    <t>PORTSEA CHECK TIE</t>
  </si>
  <si>
    <t>3NC0-3326</t>
  </si>
  <si>
    <t>888987472467</t>
  </si>
  <si>
    <t>LUNDY DOT TIE</t>
  </si>
  <si>
    <t>3NC0-3347</t>
  </si>
  <si>
    <t>888987472504</t>
  </si>
  <si>
    <t>TJORN DOT TIE</t>
  </si>
  <si>
    <t>3NC0-3349</t>
  </si>
  <si>
    <t>888987472641</t>
  </si>
  <si>
    <t>888987207212</t>
  </si>
  <si>
    <t>ASSORTED STRIPE TIE</t>
  </si>
  <si>
    <t>3NC0-STR9</t>
  </si>
  <si>
    <t>888987472450</t>
  </si>
  <si>
    <t>888987472740</t>
  </si>
  <si>
    <t>DELANEY STRIPE TIE</t>
  </si>
  <si>
    <t>3NC0-3338</t>
  </si>
  <si>
    <t>888987472894</t>
  </si>
  <si>
    <t>LEEHAM STRIPE TIE</t>
  </si>
  <si>
    <t>3NC0-5346</t>
  </si>
  <si>
    <t>888987472658</t>
  </si>
  <si>
    <t>193623572662</t>
  </si>
  <si>
    <t>NEON PUFFER WITH HOOD</t>
  </si>
  <si>
    <t>CM950954</t>
  </si>
  <si>
    <t>MENS OUTERWR</t>
  </si>
  <si>
    <t>CALVIN KLEIN/G-III LEATHER FASHIONS</t>
  </si>
  <si>
    <t>SHELL: NYLON; LINING: POLYESTER</t>
  </si>
  <si>
    <t>22653635484</t>
  </si>
  <si>
    <t>SLKHT PIECED GLOV M</t>
  </si>
  <si>
    <t>662M2</t>
  </si>
  <si>
    <t>NYLON/POLYESTER; FOURCHETTES: NYLON/SPANDEX; INSULATION, LINING: POLYESTER</t>
  </si>
  <si>
    <t>22653635477</t>
  </si>
  <si>
    <t>22653635545</t>
  </si>
  <si>
    <t>22653608068</t>
  </si>
  <si>
    <t>ST WOOL BLND QLTD M</t>
  </si>
  <si>
    <t>671M1</t>
  </si>
  <si>
    <t>SHELL BACK: POLYESTER/WOOL/ACRYLIC; SIDE WALL: NYLON/SPANDEX; PALM FACE: POLYURETHANE; PALM BACK, LINING, INSULATION: POLYESTER/</t>
  </si>
  <si>
    <t>22653608143</t>
  </si>
  <si>
    <t>LT/PAS BWN</t>
  </si>
  <si>
    <t>22653608020</t>
  </si>
  <si>
    <t>888987462437</t>
  </si>
  <si>
    <t>LEATHER PEBBLE GRAIN CA</t>
  </si>
  <si>
    <t>6BA9-3001</t>
  </si>
  <si>
    <t>15712008800</t>
  </si>
  <si>
    <t>PEBBLE PASSCASE</t>
  </si>
  <si>
    <t>WM20043</t>
  </si>
  <si>
    <t>824972556941</t>
  </si>
  <si>
    <t>INAUGURAL BLUE TUXEDO JKBASIC</t>
  </si>
  <si>
    <t>RUPE1RHV0001</t>
  </si>
  <si>
    <t>36 SHORT</t>
  </si>
  <si>
    <t>WOOL</t>
  </si>
  <si>
    <t>883498602136</t>
  </si>
  <si>
    <t>LAUREN CHECK BLUE</t>
  </si>
  <si>
    <t>LACA12AM0034</t>
  </si>
  <si>
    <t>42 R/M37.5</t>
  </si>
  <si>
    <t>SHELL: WOOL/POLYESTER; LINING: POLYESTER/VISCOSE</t>
  </si>
  <si>
    <t>883498597708</t>
  </si>
  <si>
    <t>LAUREN PLAID CHARCOAL</t>
  </si>
  <si>
    <t>LACA12A20008</t>
  </si>
  <si>
    <t>44 R/M37.5</t>
  </si>
  <si>
    <t>883498598811</t>
  </si>
  <si>
    <t>JKT GREY PLAID WINDOW</t>
  </si>
  <si>
    <t>ADAS1ATX0001</t>
  </si>
  <si>
    <t>40 SHORT</t>
  </si>
  <si>
    <t>TOMMY HILFIGER/PEERLESS CLOTHING</t>
  </si>
  <si>
    <t>883498584159</t>
  </si>
  <si>
    <t>NAVY PLAID WINDOW</t>
  </si>
  <si>
    <t>LETO12P10048</t>
  </si>
  <si>
    <t>40 R/M37.5</t>
  </si>
  <si>
    <t>SHELL: WOOL/POLYESTER LINING: POLYESTER/VISCOSE</t>
  </si>
  <si>
    <t>883498583558</t>
  </si>
  <si>
    <t>BLUE CHECK</t>
  </si>
  <si>
    <t>LETO12P10043</t>
  </si>
  <si>
    <t>883498583787</t>
  </si>
  <si>
    <t>41 R/M37.5</t>
  </si>
  <si>
    <t>883498584388</t>
  </si>
  <si>
    <t>727737120824</t>
  </si>
  <si>
    <t>PEAK LAPEL TUXEDO</t>
  </si>
  <si>
    <t>MT182S-02</t>
  </si>
  <si>
    <t>38 SHORT</t>
  </si>
  <si>
    <t>SUITS AMERICA INC</t>
  </si>
  <si>
    <t>TETRON, RAYON</t>
  </si>
  <si>
    <t>883498858298</t>
  </si>
  <si>
    <t>MED BLUE SOLID CASH</t>
  </si>
  <si>
    <t>LCSS12QA0016</t>
  </si>
  <si>
    <t>WOOL/SILK/CASHMERE</t>
  </si>
  <si>
    <t>883498858274</t>
  </si>
  <si>
    <t>36 R/M37.5</t>
  </si>
  <si>
    <t>663309552931</t>
  </si>
  <si>
    <t>TECH BLAZER</t>
  </si>
  <si>
    <t>MMF9BWJ01-410</t>
  </si>
  <si>
    <t>KC REACTION</t>
  </si>
  <si>
    <t>KENNETH COLE REACTION/PACIFIC ALLNC</t>
  </si>
  <si>
    <t>883498757713</t>
  </si>
  <si>
    <t>F19 NAVY SOLID</t>
  </si>
  <si>
    <t>CASS2MBV0422</t>
  </si>
  <si>
    <t>42 T/L39.5</t>
  </si>
  <si>
    <t>ANDREW MARC/PEERLESS CLOTHING</t>
  </si>
  <si>
    <t>JACKET AND PANTS SHELL: POLYESTER/RAYON/SPANDEX; JACKET LINING: POLYESTER</t>
  </si>
  <si>
    <t>883498640572</t>
  </si>
  <si>
    <t>JKT BLUE PLAID</t>
  </si>
  <si>
    <t>TTAY1CJZ20</t>
  </si>
  <si>
    <t>PB SUIT SEPRT</t>
  </si>
  <si>
    <t>PEERLESS CLOTHING INTL/BAR III</t>
  </si>
  <si>
    <t>SHELL: POLYESTER/VISCOSE/ELASTANE; LINING: POLYESTER</t>
  </si>
  <si>
    <t>883498857659</t>
  </si>
  <si>
    <t>MED GREY SOLID CASH BLEN</t>
  </si>
  <si>
    <t>LCSS12QA0010</t>
  </si>
  <si>
    <t>883498857475</t>
  </si>
  <si>
    <t>43 REG/MED</t>
  </si>
  <si>
    <t>883498857574</t>
  </si>
  <si>
    <t>50 T/L39.5</t>
  </si>
  <si>
    <t>883498857680</t>
  </si>
  <si>
    <t>NAVY SOLID CASH BLEND</t>
  </si>
  <si>
    <t>LCSS12QA0011</t>
  </si>
  <si>
    <t>883498857758</t>
  </si>
  <si>
    <t>883498857208</t>
  </si>
  <si>
    <t>CAMEL SOLID CASH BLEND</t>
  </si>
  <si>
    <t>LCSS12QA0003</t>
  </si>
  <si>
    <t>44 T/L39.5</t>
  </si>
  <si>
    <t>887096626211</t>
  </si>
  <si>
    <t>IZOD BLUE SOLID</t>
  </si>
  <si>
    <t>IRVN2BPY0141</t>
  </si>
  <si>
    <t>46 T/L39.5</t>
  </si>
  <si>
    <t>IZOD/PEERLESS CLOTHING INT'L</t>
  </si>
  <si>
    <t>JACKET AND PANTS: POLYESTER/RAYON/ELASTANE; JACKET LINING: POLYESTER</t>
  </si>
  <si>
    <t>883498546492</t>
  </si>
  <si>
    <t>MED BLUE PLAID</t>
  </si>
  <si>
    <t>LETO14RX0884</t>
  </si>
  <si>
    <t>SHELL: VISCOSE/POLYESTER LINING: POLYESTER/VISCOSE</t>
  </si>
  <si>
    <t>883498645997</t>
  </si>
  <si>
    <t>NAVY/BROWN PLAID</t>
  </si>
  <si>
    <t>KELS1K2Y0675</t>
  </si>
  <si>
    <t>883498646017</t>
  </si>
  <si>
    <t>883498645447</t>
  </si>
  <si>
    <t>NAVY/BLUE WINDOW</t>
  </si>
  <si>
    <t>KELS1K2Y0686</t>
  </si>
  <si>
    <t>883498645393</t>
  </si>
  <si>
    <t>887096028336</t>
  </si>
  <si>
    <t>BLUE/CHAR PLAID</t>
  </si>
  <si>
    <t>KELS1K2Y0676</t>
  </si>
  <si>
    <t>41 T/L39.5</t>
  </si>
  <si>
    <t>883498652377</t>
  </si>
  <si>
    <t>BLUE/CHAR CHECK</t>
  </si>
  <si>
    <t>KELS1K2Y0679</t>
  </si>
  <si>
    <t>SHELL: POLYESTER/VISCOSE; LINING: POLYESTER</t>
  </si>
  <si>
    <t>883498589000</t>
  </si>
  <si>
    <t>EDDWPRR40008</t>
  </si>
  <si>
    <t>8763244556</t>
  </si>
  <si>
    <t>ARMSTRONG SS POLO CF</t>
  </si>
  <si>
    <t>78E3166</t>
  </si>
  <si>
    <t>883498808606</t>
  </si>
  <si>
    <t>GREY FLANNEL PANT</t>
  </si>
  <si>
    <t>NRTNPQQ10011</t>
  </si>
  <si>
    <t>883498808460</t>
  </si>
  <si>
    <t>885608064827</t>
  </si>
  <si>
    <t>511 COMM PRESIDIO GREEN</t>
  </si>
  <si>
    <t>885608065725</t>
  </si>
  <si>
    <t>885608065060</t>
  </si>
  <si>
    <t>193238962926</t>
  </si>
  <si>
    <t>193239036701</t>
  </si>
  <si>
    <t>52177567565</t>
  </si>
  <si>
    <t>SNAP SHORT BLACK</t>
  </si>
  <si>
    <t>192523621104</t>
  </si>
  <si>
    <t>POLY SPAN GOLF JACKT</t>
  </si>
  <si>
    <t>QV822401</t>
  </si>
  <si>
    <t>2XL</t>
  </si>
  <si>
    <t>NAUTICA/LOU LEVY &amp; SONS</t>
  </si>
  <si>
    <t>POLYESTER/SPANDEX; LINING: POLYESTER</t>
  </si>
  <si>
    <t>192523621067</t>
  </si>
  <si>
    <t>192523621081</t>
  </si>
  <si>
    <t>LARGE</t>
  </si>
  <si>
    <t>11333737365</t>
  </si>
  <si>
    <t>RED REG CHECK</t>
  </si>
  <si>
    <t>33K4550</t>
  </si>
  <si>
    <t>8763296401</t>
  </si>
  <si>
    <t>SIGNATURE SOLID CREW</t>
  </si>
  <si>
    <t>78E2863</t>
  </si>
  <si>
    <t>LT/PAS ORG</t>
  </si>
  <si>
    <t>8763262727</t>
  </si>
  <si>
    <t>WAINWRIGHT SOLID SHIRT S</t>
  </si>
  <si>
    <t>78E2871</t>
  </si>
  <si>
    <t>735991637163</t>
  </si>
  <si>
    <t>LS NI SLIM FIT DOBBY</t>
  </si>
  <si>
    <t>11333730045</t>
  </si>
  <si>
    <t>11333730076</t>
  </si>
  <si>
    <t>11333729988</t>
  </si>
  <si>
    <t>735991637071</t>
  </si>
  <si>
    <t>11333701038</t>
  </si>
  <si>
    <t>24N1522</t>
  </si>
  <si>
    <t>11333700895</t>
  </si>
  <si>
    <t>LS SLM FIT STRETCH</t>
  </si>
  <si>
    <t>24N1521</t>
  </si>
  <si>
    <t>735991637101</t>
  </si>
  <si>
    <t>735991636999</t>
  </si>
  <si>
    <t>735991636982</t>
  </si>
  <si>
    <t>11333730151</t>
  </si>
  <si>
    <t>11531863996</t>
  </si>
  <si>
    <t>TRUNK 5PK</t>
  </si>
  <si>
    <t>NB1897</t>
  </si>
  <si>
    <t>88541906685</t>
  </si>
  <si>
    <t>COLOR BLOCK JOGGER</t>
  </si>
  <si>
    <t>09T3796</t>
  </si>
  <si>
    <t>TH MODERN ESSENTIALS/VAN HEUSEN</t>
  </si>
  <si>
    <t>88541896832</t>
  </si>
  <si>
    <t>HOODIE</t>
  </si>
  <si>
    <t>09T3617</t>
  </si>
  <si>
    <t>888728992292</t>
  </si>
  <si>
    <t>192564742257</t>
  </si>
  <si>
    <t>888728992285</t>
  </si>
  <si>
    <t>738085354533</t>
  </si>
  <si>
    <t>NI STRETCH PINPOINT BASIC</t>
  </si>
  <si>
    <t>731516332292</t>
  </si>
  <si>
    <t>W93105-CASUAL PLAID</t>
  </si>
  <si>
    <t>W93105</t>
  </si>
  <si>
    <t>LT/PAS RED</t>
  </si>
  <si>
    <t>719250353179</t>
  </si>
  <si>
    <t>719250176600</t>
  </si>
  <si>
    <t>719250353353</t>
  </si>
  <si>
    <t>719250176587</t>
  </si>
  <si>
    <t>719250353223</t>
  </si>
  <si>
    <t>719250353162</t>
  </si>
  <si>
    <t>749194890829</t>
  </si>
  <si>
    <t>192861044993</t>
  </si>
  <si>
    <t>AMETHYST PLAID</t>
  </si>
  <si>
    <t>RSD101R0130</t>
  </si>
  <si>
    <t>RYAN SEACREST/ITOCHU PROMINENT USA</t>
  </si>
  <si>
    <t>190697897745</t>
  </si>
  <si>
    <t>BLUE GRAPH CHECK</t>
  </si>
  <si>
    <t>RST101PPS832</t>
  </si>
  <si>
    <t>11333879690</t>
  </si>
  <si>
    <t>GREY SLIM CHECK</t>
  </si>
  <si>
    <t>33K4742</t>
  </si>
  <si>
    <t>11333879676</t>
  </si>
  <si>
    <t>731516184198</t>
  </si>
  <si>
    <t>S93000-VNECK NAVTEC</t>
  </si>
  <si>
    <t>S93000</t>
  </si>
  <si>
    <t>11333879737</t>
  </si>
  <si>
    <t>732998125648</t>
  </si>
  <si>
    <t>732998125679</t>
  </si>
  <si>
    <t>190540297296</t>
  </si>
  <si>
    <t>GLENNAKER LAKE RAIN JACKE</t>
  </si>
  <si>
    <t>11333725560</t>
  </si>
  <si>
    <t>SHEARLING CUFF LEATHER</t>
  </si>
  <si>
    <t>1CT0218</t>
  </si>
  <si>
    <t>LEATHER; CUFF, LINING: POLYESTER</t>
  </si>
  <si>
    <t>11333725553</t>
  </si>
  <si>
    <t>11333740167</t>
  </si>
  <si>
    <t>LS NI REG CHECK GRN</t>
  </si>
  <si>
    <t>EAGLE/VAN HEUSEN</t>
  </si>
  <si>
    <t>11333740181</t>
  </si>
  <si>
    <t>11333740334</t>
  </si>
  <si>
    <t>11333740327</t>
  </si>
  <si>
    <t>712848743550</t>
  </si>
  <si>
    <t>11333740150</t>
  </si>
  <si>
    <t>11333740266</t>
  </si>
  <si>
    <t>11333740280</t>
  </si>
  <si>
    <t>11333740242</t>
  </si>
  <si>
    <t>11333740273</t>
  </si>
  <si>
    <t>11333740174</t>
  </si>
  <si>
    <t>11333740204</t>
  </si>
  <si>
    <t>732996677873</t>
  </si>
  <si>
    <t>CONGO SUNST PLTD PNT</t>
  </si>
  <si>
    <t>191603957133</t>
  </si>
  <si>
    <t>191603692812</t>
  </si>
  <si>
    <t>191603945185</t>
  </si>
  <si>
    <t>191603945154</t>
  </si>
  <si>
    <t>191603692836</t>
  </si>
  <si>
    <t>732997754214</t>
  </si>
  <si>
    <t>840903044660</t>
  </si>
  <si>
    <t>BALLISTIC NYLON BPACK</t>
  </si>
  <si>
    <t>MM-811B</t>
  </si>
  <si>
    <t>POLYESTER; LINING: COTTON</t>
  </si>
  <si>
    <t>840903046435</t>
  </si>
  <si>
    <t>SPACE DYE DOME BACKPACK</t>
  </si>
  <si>
    <t>MM-815G</t>
  </si>
  <si>
    <t>884411090054</t>
  </si>
  <si>
    <t>884411089911</t>
  </si>
  <si>
    <t>884411089980</t>
  </si>
  <si>
    <t>191764597186</t>
  </si>
  <si>
    <t>OSAKA</t>
  </si>
  <si>
    <t>3LGLW1444</t>
  </si>
  <si>
    <t>191603985013</t>
  </si>
  <si>
    <t>NESS</t>
  </si>
  <si>
    <t>3LGLW1566</t>
  </si>
  <si>
    <t>840903005227</t>
  </si>
  <si>
    <t>BALLISTIC NYLON BACKPACK</t>
  </si>
  <si>
    <t>MM-577N</t>
  </si>
  <si>
    <t>11333345423</t>
  </si>
  <si>
    <t>WHITE SLIM SOLID</t>
  </si>
  <si>
    <t>24N1385</t>
  </si>
  <si>
    <t>732997709061</t>
  </si>
  <si>
    <t>SOLID TECH FLEECE</t>
  </si>
  <si>
    <t>100079613MN</t>
  </si>
  <si>
    <t>POLYESTER/COTTON/SPANDEX</t>
  </si>
  <si>
    <t>732997846575</t>
  </si>
  <si>
    <t>732997846568</t>
  </si>
  <si>
    <t>732997846599</t>
  </si>
  <si>
    <t>631712543365</t>
  </si>
  <si>
    <t>LS REG N/I NO STRTCH</t>
  </si>
  <si>
    <t>04R0238</t>
  </si>
  <si>
    <t>LAUREN/VAN HEUSEN GROUP</t>
  </si>
  <si>
    <t>732996568041</t>
  </si>
  <si>
    <t>S/S JACQUARD ANILMAL</t>
  </si>
  <si>
    <t>88541429269</t>
  </si>
  <si>
    <t>3PK BOXER BRIEF</t>
  </si>
  <si>
    <t>09TE001</t>
  </si>
  <si>
    <t>193101003787</t>
  </si>
  <si>
    <t>TRAC BASIC BOS LS</t>
  </si>
  <si>
    <t>FK3396</t>
  </si>
  <si>
    <t>MENS ADIDAS</t>
  </si>
  <si>
    <t>ADIDAS AMERICA INC</t>
  </si>
  <si>
    <t>732997202388</t>
  </si>
  <si>
    <t>VAMP SWEATER</t>
  </si>
  <si>
    <t>732994175791</t>
  </si>
  <si>
    <t>WYATT EDV SLM ST BASIC</t>
  </si>
  <si>
    <t>608356388515</t>
  </si>
  <si>
    <t>OTTOMAN CB QTR ZIP</t>
  </si>
  <si>
    <t>100032919MN</t>
  </si>
  <si>
    <t>GREG NORMAN FOR TASSO ELBA-MMG</t>
  </si>
  <si>
    <t>840903052009</t>
  </si>
  <si>
    <t>DOUBLE POCKET WAIST BAG</t>
  </si>
  <si>
    <t>MM-845</t>
  </si>
  <si>
    <t>NYLON; LINING: NYLON</t>
  </si>
  <si>
    <t>732997730164</t>
  </si>
  <si>
    <t>SOLID RLXD BLT CRG R</t>
  </si>
  <si>
    <t>152302A</t>
  </si>
  <si>
    <t>AMERICAN RAG-EDI/QR WOVENS</t>
  </si>
  <si>
    <t>732997887455</t>
  </si>
  <si>
    <t>732996184814</t>
  </si>
  <si>
    <t>MORRISON GD FF SHORT</t>
  </si>
  <si>
    <t>100067415MN</t>
  </si>
  <si>
    <t>732998035466</t>
  </si>
  <si>
    <t>732998034780</t>
  </si>
  <si>
    <t>CREW NECK BSKT WEAVE</t>
  </si>
  <si>
    <t>100081213MN</t>
  </si>
  <si>
    <t>732998030485</t>
  </si>
  <si>
    <t>732998030546</t>
  </si>
  <si>
    <t>726895039641</t>
  </si>
  <si>
    <t>NEVIN LINEN VEST</t>
  </si>
  <si>
    <t>6N310540</t>
  </si>
  <si>
    <t>FRONT: LINEN/COTTON; BACK/LINING: POLYESTER</t>
  </si>
  <si>
    <t>732997830758</t>
  </si>
  <si>
    <t>NOVELTY BOX PLAID</t>
  </si>
  <si>
    <t>100075839MN</t>
  </si>
  <si>
    <t>706255661729</t>
  </si>
  <si>
    <t>EDV JAMES SLIM VEST BASIC</t>
  </si>
  <si>
    <t>67303NA540</t>
  </si>
  <si>
    <t>732996334936</t>
  </si>
  <si>
    <t>LS SAM HERRINGBONE</t>
  </si>
  <si>
    <t>100068359MN</t>
  </si>
  <si>
    <t>732997887110</t>
  </si>
  <si>
    <t>15712033390</t>
  </si>
  <si>
    <t>15712012159</t>
  </si>
  <si>
    <t>ANNA BELLE</t>
  </si>
  <si>
    <t>1P02084</t>
  </si>
  <si>
    <t>732996930619</t>
  </si>
  <si>
    <t>732996930527</t>
  </si>
  <si>
    <t>732996930510</t>
  </si>
  <si>
    <t>732996930664</t>
  </si>
  <si>
    <t>732997027202</t>
  </si>
  <si>
    <t>TIGER TEE</t>
  </si>
  <si>
    <t>DARKORANGE</t>
  </si>
  <si>
    <t>11333725430</t>
  </si>
  <si>
    <t>732996184586</t>
  </si>
  <si>
    <t>MORRISON FF SHORT</t>
  </si>
  <si>
    <t>100067413MN</t>
  </si>
  <si>
    <t>732998452874</t>
  </si>
  <si>
    <t>FATE TEE</t>
  </si>
  <si>
    <t>BODY: POLYESTER; PIECING: POLYESTER/SPANDEX</t>
  </si>
  <si>
    <t>732997148815</t>
  </si>
  <si>
    <t>RIB PLACKET 1/4 ZIP</t>
  </si>
  <si>
    <t>100069836MN</t>
  </si>
  <si>
    <t>732994184144</t>
  </si>
  <si>
    <t>SP BIG SOLID</t>
  </si>
  <si>
    <t>100027596BI</t>
  </si>
  <si>
    <t>19X34-35"</t>
  </si>
  <si>
    <t>193671007499</t>
  </si>
  <si>
    <t>CLEMSON PLAID TIE</t>
  </si>
  <si>
    <t>RS20110126</t>
  </si>
  <si>
    <t>RYAN SEACREST/RANDA CORP</t>
  </si>
  <si>
    <t>26414825114</t>
  </si>
  <si>
    <t>RUE STRIPE</t>
  </si>
  <si>
    <t>RS29110026</t>
  </si>
  <si>
    <t>193671007512</t>
  </si>
  <si>
    <t>26414757583</t>
  </si>
  <si>
    <t>LOMBARDY STRIPE</t>
  </si>
  <si>
    <t>RS29110017</t>
  </si>
  <si>
    <t>26414668933</t>
  </si>
  <si>
    <t>CHAR AUDIO MELANGE STRIPE</t>
  </si>
  <si>
    <t>RS29110013</t>
  </si>
  <si>
    <t>SILK/VISCOSE/POLYESTER</t>
  </si>
  <si>
    <t>26414698145</t>
  </si>
  <si>
    <t>BLUE WEHO CHECK</t>
  </si>
  <si>
    <t>RS20110079</t>
  </si>
  <si>
    <t>193671007338</t>
  </si>
  <si>
    <t>GAFFNEY GEO TIE</t>
  </si>
  <si>
    <t>RS21110006</t>
  </si>
  <si>
    <t>193671007628</t>
  </si>
  <si>
    <t>BRAGG STRIPE TIE</t>
  </si>
  <si>
    <t>RS02110000</t>
  </si>
  <si>
    <t>26414734676</t>
  </si>
  <si>
    <t>PONSAY STRIPE</t>
  </si>
  <si>
    <t>RS20110092</t>
  </si>
  <si>
    <t>193671007369</t>
  </si>
  <si>
    <t>26414845433</t>
  </si>
  <si>
    <t>WEHO CHECK</t>
  </si>
  <si>
    <t>193671007765</t>
  </si>
  <si>
    <t>WILSON PAISLEY TIE</t>
  </si>
  <si>
    <t>RS21110007</t>
  </si>
  <si>
    <t>26414757729</t>
  </si>
  <si>
    <t>SAN LEO GINGHAM</t>
  </si>
  <si>
    <t>RS20110098</t>
  </si>
  <si>
    <t>26414787283</t>
  </si>
  <si>
    <t>WARWICK GINGHAM</t>
  </si>
  <si>
    <t>RS20110070</t>
  </si>
  <si>
    <t>26414007435</t>
  </si>
  <si>
    <t>FRANCO GEO</t>
  </si>
  <si>
    <t>RS20110118</t>
  </si>
  <si>
    <t>26414688351</t>
  </si>
  <si>
    <t>SILV VICTOR DOT GRID</t>
  </si>
  <si>
    <t>RS20110076</t>
  </si>
  <si>
    <t>26414825121</t>
  </si>
  <si>
    <t>26414757705</t>
  </si>
  <si>
    <t>26414757569</t>
  </si>
  <si>
    <t>26414008012</t>
  </si>
  <si>
    <t>MATILDA PAISLEY</t>
  </si>
  <si>
    <t>RS20110120</t>
  </si>
  <si>
    <t>26414688436</t>
  </si>
  <si>
    <t>WINE WEHO CHECK</t>
  </si>
  <si>
    <t>193671007758</t>
  </si>
  <si>
    <t>26414825084</t>
  </si>
  <si>
    <t>BONA NEAT</t>
  </si>
  <si>
    <t>RS29110025</t>
  </si>
  <si>
    <t>SILK/JASPE</t>
  </si>
  <si>
    <t>732998458920</t>
  </si>
  <si>
    <t>WORLD TEE</t>
  </si>
  <si>
    <t>732994317436</t>
  </si>
  <si>
    <t>SPS LATTICE DMND PT</t>
  </si>
  <si>
    <t>100027480MN</t>
  </si>
  <si>
    <t>732994317443</t>
  </si>
  <si>
    <t>732998458937</t>
  </si>
  <si>
    <t>732998458913</t>
  </si>
  <si>
    <t>726895469622</t>
  </si>
  <si>
    <t>726895469592</t>
  </si>
  <si>
    <t>732996931104</t>
  </si>
  <si>
    <t>LS SOLID QUARTER ZIP</t>
  </si>
  <si>
    <t>100076565MN</t>
  </si>
  <si>
    <t>732996931548</t>
  </si>
  <si>
    <t>732996931265</t>
  </si>
  <si>
    <t>732996931081</t>
  </si>
  <si>
    <t>732996931272</t>
  </si>
  <si>
    <t>756500221031</t>
  </si>
  <si>
    <t>METALLIC MICRO GRID</t>
  </si>
  <si>
    <t>K7994611</t>
  </si>
  <si>
    <t>682875865764</t>
  </si>
  <si>
    <t>756500423824</t>
  </si>
  <si>
    <t>SMALL OPTICAL GEO</t>
  </si>
  <si>
    <t>7K994314</t>
  </si>
  <si>
    <t>756500216310</t>
  </si>
  <si>
    <t>ELIJAH CHECK</t>
  </si>
  <si>
    <t>7K994532</t>
  </si>
  <si>
    <t>682875284275</t>
  </si>
  <si>
    <t>DOTTED GLENCHECK</t>
  </si>
  <si>
    <t>7K983322</t>
  </si>
  <si>
    <t>756500423817</t>
  </si>
  <si>
    <t>756500216020</t>
  </si>
  <si>
    <t>SQUARE TEXTURE GROUND AN</t>
  </si>
  <si>
    <t>7K994530</t>
  </si>
  <si>
    <t>756500153615</t>
  </si>
  <si>
    <t>756500218062</t>
  </si>
  <si>
    <t>682875405458</t>
  </si>
  <si>
    <t>AMERICANA PLAID</t>
  </si>
  <si>
    <t>682875225834</t>
  </si>
  <si>
    <t>682875865689</t>
  </si>
  <si>
    <t>756500211377</t>
  </si>
  <si>
    <t>BRIGHT MEDIUM STRIPE</t>
  </si>
  <si>
    <t>756500209923</t>
  </si>
  <si>
    <t>682875864606</t>
  </si>
  <si>
    <t>CORE MICRO</t>
  </si>
  <si>
    <t>756500390249</t>
  </si>
  <si>
    <t>LUXURIANT NEAT</t>
  </si>
  <si>
    <t>7K994306</t>
  </si>
  <si>
    <t>756500132818</t>
  </si>
  <si>
    <t>LINKED HEXAGON</t>
  </si>
  <si>
    <t>7K933325</t>
  </si>
  <si>
    <t>LT/PASPINK</t>
  </si>
  <si>
    <t>756500390201</t>
  </si>
  <si>
    <t>756500390256</t>
  </si>
  <si>
    <t>756500129962</t>
  </si>
  <si>
    <t>CROSS OVER GEO</t>
  </si>
  <si>
    <t>7K993311</t>
  </si>
  <si>
    <t>756500132900</t>
  </si>
  <si>
    <t>SORENTO SOLID</t>
  </si>
  <si>
    <t>7K933220</t>
  </si>
  <si>
    <t>756500216402</t>
  </si>
  <si>
    <t>756500218451</t>
  </si>
  <si>
    <t>756500217102</t>
  </si>
  <si>
    <t>756500209497</t>
  </si>
  <si>
    <t>7K994318</t>
  </si>
  <si>
    <t>756500218147</t>
  </si>
  <si>
    <t>THINLY OUTLINED LARGE PA</t>
  </si>
  <si>
    <t>7K994640</t>
  </si>
  <si>
    <t>756500130289</t>
  </si>
  <si>
    <t>CHECKERED GRID</t>
  </si>
  <si>
    <t>7K993514</t>
  </si>
  <si>
    <t>756500382640</t>
  </si>
  <si>
    <t>756500126602</t>
  </si>
  <si>
    <t>DIGITAL SQUARES</t>
  </si>
  <si>
    <t>7K993205</t>
  </si>
  <si>
    <t>756500216273</t>
  </si>
  <si>
    <t>756500203884</t>
  </si>
  <si>
    <t>756500131392</t>
  </si>
  <si>
    <t>ARTISANAL SHADOW PAISLEY</t>
  </si>
  <si>
    <t>7K993626</t>
  </si>
  <si>
    <t>756500153585</t>
  </si>
  <si>
    <t>SMALL ANGULAR GEO PRINT</t>
  </si>
  <si>
    <t>29407830331</t>
  </si>
  <si>
    <t>NAVY MICRO</t>
  </si>
  <si>
    <t>SILK/NYLON</t>
  </si>
  <si>
    <t>756500208674</t>
  </si>
  <si>
    <t>682875296131</t>
  </si>
  <si>
    <t>756500211988</t>
  </si>
  <si>
    <t>756500211407</t>
  </si>
  <si>
    <t>756500131279</t>
  </si>
  <si>
    <t>ARTISANAL SHADOW BOTANIC</t>
  </si>
  <si>
    <t>7K993625</t>
  </si>
  <si>
    <t>756500211391</t>
  </si>
  <si>
    <t>732997896617</t>
  </si>
  <si>
    <t>SS WOODLAND CAMO</t>
  </si>
  <si>
    <t>100081581MN</t>
  </si>
  <si>
    <t>636189751435</t>
  </si>
  <si>
    <t>726895469455</t>
  </si>
  <si>
    <t>726895469431</t>
  </si>
  <si>
    <t>640013622341</t>
  </si>
  <si>
    <t>640013381897</t>
  </si>
  <si>
    <t>15712012944</t>
  </si>
  <si>
    <t>BEVELED EDGE REV</t>
  </si>
  <si>
    <t>1P07001</t>
  </si>
  <si>
    <t>732996462660</t>
  </si>
  <si>
    <t>726895470031</t>
  </si>
  <si>
    <t>732997796870</t>
  </si>
  <si>
    <t>SPS SQ LINE PRINT</t>
  </si>
  <si>
    <t>100054472MN</t>
  </si>
  <si>
    <t>726895465174</t>
  </si>
  <si>
    <t>726895469462</t>
  </si>
  <si>
    <t>726895465129</t>
  </si>
  <si>
    <t>732998459385</t>
  </si>
  <si>
    <t>732998459378</t>
  </si>
  <si>
    <t>732998459392</t>
  </si>
  <si>
    <t>732996676241</t>
  </si>
  <si>
    <t>732996676197</t>
  </si>
  <si>
    <t>689439520794</t>
  </si>
  <si>
    <t>732996672328</t>
  </si>
  <si>
    <t>689439520800</t>
  </si>
  <si>
    <t>732998044420</t>
  </si>
  <si>
    <t>732998044413</t>
  </si>
  <si>
    <t>726895602173</t>
  </si>
  <si>
    <t>SPS PINPOINT SOLID BASIC</t>
  </si>
  <si>
    <t>726895602159</t>
  </si>
  <si>
    <t>726895602197</t>
  </si>
  <si>
    <t>810021393179</t>
  </si>
  <si>
    <t>WU TANG LS GRAFFITI</t>
  </si>
  <si>
    <t>WTC89266</t>
  </si>
  <si>
    <t>726895602500</t>
  </si>
  <si>
    <t>636202112038</t>
  </si>
  <si>
    <t>BD OXFORD SS BASIC</t>
  </si>
  <si>
    <t>17 S/S</t>
  </si>
  <si>
    <t>726895601824</t>
  </si>
  <si>
    <t>636189168660</t>
  </si>
  <si>
    <t>726895601817</t>
  </si>
  <si>
    <t>636189577288</t>
  </si>
  <si>
    <t>UMAX SQUARE TXT SLD BASIC</t>
  </si>
  <si>
    <t>732998110897</t>
  </si>
  <si>
    <t>SS DENVER STRIPE PRI</t>
  </si>
  <si>
    <t>100074007MN</t>
  </si>
  <si>
    <t>716106898914</t>
  </si>
  <si>
    <t>732997175156</t>
  </si>
  <si>
    <t>192166358726</t>
  </si>
  <si>
    <t>LONG SLEEVE HENLEY SHIRT</t>
  </si>
  <si>
    <t>TMF99527ME</t>
  </si>
  <si>
    <t>32 DEGREES/WEATHERPROOF GAR-CONSIGN</t>
  </si>
  <si>
    <t>89467641629</t>
  </si>
  <si>
    <t>LS REG TEK FIT WF ST</t>
  </si>
  <si>
    <t>26W5875</t>
  </si>
  <si>
    <t>ARROW/VAN HEUSEN CORP</t>
  </si>
  <si>
    <t>89467055570</t>
  </si>
  <si>
    <t>LS FITTED STRETCH NI</t>
  </si>
  <si>
    <t>26W5479</t>
  </si>
  <si>
    <t>732998109709</t>
  </si>
  <si>
    <t>732998109945</t>
  </si>
  <si>
    <t>SS VASSER FLOWER STR</t>
  </si>
  <si>
    <t>100074005MN</t>
  </si>
  <si>
    <t>732998110408</t>
  </si>
  <si>
    <t>732998109716</t>
  </si>
  <si>
    <t>732996369556</t>
  </si>
  <si>
    <t>BALD EAGLE TEE</t>
  </si>
  <si>
    <t>192166358634</t>
  </si>
  <si>
    <t>CREW LS TOP W/ NOTCH</t>
  </si>
  <si>
    <t>TMF99511ME</t>
  </si>
  <si>
    <t>192166358481</t>
  </si>
  <si>
    <t>192166358573</t>
  </si>
  <si>
    <t>192166358627</t>
  </si>
  <si>
    <t>653411888509</t>
  </si>
  <si>
    <t>REG CHECK</t>
  </si>
  <si>
    <t>32LG056</t>
  </si>
  <si>
    <t>15712021465</t>
  </si>
  <si>
    <t>732995983852</t>
  </si>
  <si>
    <t>MURPHY GEO</t>
  </si>
  <si>
    <t>BOW TIE: SILK/POLYESTER; POCKET SQUARE: POLYESTER</t>
  </si>
  <si>
    <t>766380836607</t>
  </si>
  <si>
    <t>732994554572</t>
  </si>
  <si>
    <t>15322CC436</t>
  </si>
  <si>
    <t>732997169483</t>
  </si>
  <si>
    <t>15322CV436</t>
  </si>
  <si>
    <t>766380836676</t>
  </si>
  <si>
    <t>192861563395</t>
  </si>
  <si>
    <t>MENS DRESS SHIRT</t>
  </si>
  <si>
    <t>NAU100YLP095</t>
  </si>
  <si>
    <t>NAUTICA/ITOCHU PROMINENT USA</t>
  </si>
  <si>
    <t>193844058068</t>
  </si>
  <si>
    <t>CORONA EXTRA SS TEE</t>
  </si>
  <si>
    <t>O4SN003-27</t>
  </si>
  <si>
    <t>FREEZE/CENTRAL MILLS</t>
  </si>
  <si>
    <t>88541909099</t>
  </si>
  <si>
    <t>JOGGER-THERMAL SHORT</t>
  </si>
  <si>
    <t>09T3587</t>
  </si>
  <si>
    <t>88541612418</t>
  </si>
  <si>
    <t>TOMMY HILFIGER THERMAL J</t>
  </si>
  <si>
    <t>732995085051</t>
  </si>
  <si>
    <t>ELECTRIC TEE</t>
  </si>
  <si>
    <t>732996791937</t>
  </si>
  <si>
    <t>NOLAN SOLID</t>
  </si>
  <si>
    <t>732997814680</t>
  </si>
  <si>
    <t>HOLT GEO</t>
  </si>
  <si>
    <t>732997814857</t>
  </si>
  <si>
    <t>CALUSA STRIPE</t>
  </si>
  <si>
    <t>732996792019</t>
  </si>
  <si>
    <t>HUDSON ABSTRACT</t>
  </si>
  <si>
    <t>732997611449</t>
  </si>
  <si>
    <t>PALMAS GEO</t>
  </si>
  <si>
    <t>732997814413</t>
  </si>
  <si>
    <t>732996792040</t>
  </si>
  <si>
    <t>PAXTON STRIPE</t>
  </si>
  <si>
    <t>732997814864</t>
  </si>
  <si>
    <t>732997814758</t>
  </si>
  <si>
    <t>732997814697</t>
  </si>
  <si>
    <t>732997611463</t>
  </si>
  <si>
    <t>SHELL: POLYESTER/SPANDEX; TRIM: POLYESTER</t>
  </si>
  <si>
    <t>732997813409</t>
  </si>
  <si>
    <t>732996792002</t>
  </si>
  <si>
    <t>732997814833</t>
  </si>
  <si>
    <t>732997814284</t>
  </si>
  <si>
    <t>732995982824</t>
  </si>
  <si>
    <t>732997611388</t>
  </si>
  <si>
    <t>TIS' THE SEASON</t>
  </si>
  <si>
    <t>732996801094</t>
  </si>
  <si>
    <t>EASTFORD FLORAL</t>
  </si>
  <si>
    <t>732994740081</t>
  </si>
  <si>
    <t>732995661729</t>
  </si>
  <si>
    <t>732996792408</t>
  </si>
  <si>
    <t>LARSSON ABST SOLID</t>
  </si>
  <si>
    <t>732994740722</t>
  </si>
  <si>
    <t>EATON STRIPE BASIC</t>
  </si>
  <si>
    <t>732997611432</t>
  </si>
  <si>
    <t>732996791920</t>
  </si>
  <si>
    <t>810021393346</t>
  </si>
  <si>
    <t>JOURNEY FLYING TEE</t>
  </si>
  <si>
    <t>JOU89259</t>
  </si>
  <si>
    <t>884411585758</t>
  </si>
  <si>
    <t>NEON COCA COLA</t>
  </si>
  <si>
    <t>2CCV2094</t>
  </si>
  <si>
    <t>810021393322</t>
  </si>
  <si>
    <t>884411586137</t>
  </si>
  <si>
    <t>810021393339</t>
  </si>
  <si>
    <t>732997751770</t>
  </si>
  <si>
    <t>PTR STRIPE</t>
  </si>
  <si>
    <t>100080559MN</t>
  </si>
  <si>
    <t>732997104934</t>
  </si>
  <si>
    <t>732997104941</t>
  </si>
  <si>
    <t>732997105009</t>
  </si>
  <si>
    <t>731351802387</t>
  </si>
  <si>
    <t>732998021360</t>
  </si>
  <si>
    <t>INSIDE GEO CHEST ST</t>
  </si>
  <si>
    <t>100082261MN</t>
  </si>
  <si>
    <t>732997444122</t>
  </si>
  <si>
    <t>SHEARLING BEANIE</t>
  </si>
  <si>
    <t>100074780MN</t>
  </si>
  <si>
    <t>732997443835</t>
  </si>
  <si>
    <t>REVERSIBLE SCARF</t>
  </si>
  <si>
    <t>100074775MN</t>
  </si>
  <si>
    <t>732997443859</t>
  </si>
  <si>
    <t>732997443842</t>
  </si>
  <si>
    <t>732997444146</t>
  </si>
  <si>
    <t>REVERSIBLE BEANIE</t>
  </si>
  <si>
    <t>100074781MN</t>
  </si>
  <si>
    <t>732996848785</t>
  </si>
  <si>
    <t>732997444092</t>
  </si>
  <si>
    <t>732997444115</t>
  </si>
  <si>
    <t>732996623757</t>
  </si>
  <si>
    <t>ORNATE ARGYLE</t>
  </si>
  <si>
    <t>100071064MN</t>
  </si>
  <si>
    <t>756574228059</t>
  </si>
  <si>
    <t>SURVIVOR CARGO SHORT</t>
  </si>
  <si>
    <t>Y18PK3D</t>
  </si>
  <si>
    <t>UNIONBAY/SEATTLE PACIFIC IND/CONSGN</t>
  </si>
  <si>
    <t>732997105900</t>
  </si>
  <si>
    <t>SPR SKIP DIAMOND PT</t>
  </si>
  <si>
    <t>100038588MN</t>
  </si>
  <si>
    <t>26414827644</t>
  </si>
  <si>
    <t>HENDRIX SOLID</t>
  </si>
  <si>
    <t>RS20110113</t>
  </si>
  <si>
    <t>747476757617</t>
  </si>
  <si>
    <t>JEFFERY182 10218984</t>
  </si>
  <si>
    <t>ELEVATED SUIT</t>
  </si>
  <si>
    <t>HUGO HUGO BOSS/HUGO BOSS FASHIONS</t>
  </si>
  <si>
    <t>SHELL: ALL VIRGIN WOOL; LINING: JACKET LINING: VISCOSE; SLEEVE LINING: VISCOSE/ACETATE</t>
  </si>
  <si>
    <t>883498415026</t>
  </si>
  <si>
    <t>OFFWHITE TWILL DINNER</t>
  </si>
  <si>
    <t>LDNO12UU0000</t>
  </si>
  <si>
    <t>SHELL: WOOL; LINING: POLYESTER/VISCOSE</t>
  </si>
  <si>
    <t>883498604628</t>
  </si>
  <si>
    <t>LAUREN CHECK GREY/PURPLE</t>
  </si>
  <si>
    <t>LONG12AM0039</t>
  </si>
  <si>
    <t>48 R/M37.5</t>
  </si>
  <si>
    <t>887096206277</t>
  </si>
  <si>
    <t>TWILL SILVER NONE SB</t>
  </si>
  <si>
    <t>VHLL2SQW0150</t>
  </si>
  <si>
    <t>38 T/L39.5</t>
  </si>
  <si>
    <t>TALLIA/PEERLESS CLOTHING</t>
  </si>
  <si>
    <t>JACKET AND PANTS SHELL: POLYESTER/RAYON; JACKET LINING: POLYESTER</t>
  </si>
  <si>
    <t>883498733090</t>
  </si>
  <si>
    <t>GREY FLANNEL JACKET</t>
  </si>
  <si>
    <t>TTAY1CBZ65</t>
  </si>
  <si>
    <t>883498581783</t>
  </si>
  <si>
    <t>LIGHT BROWN BLUE PLAID</t>
  </si>
  <si>
    <t>LETO12P10064</t>
  </si>
  <si>
    <t>883498580281</t>
  </si>
  <si>
    <t>BLUE MULTI COLOR</t>
  </si>
  <si>
    <t>LETO12P10044</t>
  </si>
  <si>
    <t>40 T/L39.5</t>
  </si>
  <si>
    <t>883498583589</t>
  </si>
  <si>
    <t>883498761284</t>
  </si>
  <si>
    <t>BLACK &amp; WHITE HERRINGBON</t>
  </si>
  <si>
    <t>LETO12GWF105</t>
  </si>
  <si>
    <t>747476738821</t>
  </si>
  <si>
    <t>GREY PLAID SEPARATE-GRIF</t>
  </si>
  <si>
    <t>SHELL: WOOL; LINING: VISCOSE</t>
  </si>
  <si>
    <t>887096076375</t>
  </si>
  <si>
    <t>OVERCOAT</t>
  </si>
  <si>
    <t>VLUTOTDB0025</t>
  </si>
  <si>
    <t>POLYESTER/ACRYLIC/METALLIC</t>
  </si>
  <si>
    <t>887096023591</t>
  </si>
  <si>
    <t>NAVY PIN JKT</t>
  </si>
  <si>
    <t>TNSY1QHZ38</t>
  </si>
  <si>
    <t>46XT/XL 41</t>
  </si>
  <si>
    <t>ALFANI RED/PEERLESS CLOTHING</t>
  </si>
  <si>
    <t>SHELL: POLYESTER/VISCOSE/SPANDEX; LINING: POLYESTER</t>
  </si>
  <si>
    <t>883498415781</t>
  </si>
  <si>
    <t>TAN PLAIN</t>
  </si>
  <si>
    <t>LTOB12SU0000</t>
  </si>
  <si>
    <t>SHELL: COTTON/SPANDEX; LINING: POLYESTER</t>
  </si>
  <si>
    <t>883498424257</t>
  </si>
  <si>
    <t>PROM BLACK JACKET</t>
  </si>
  <si>
    <t>RDAE1RXZ0003</t>
  </si>
  <si>
    <t>887096120283</t>
  </si>
  <si>
    <t>TAN SOLID</t>
  </si>
  <si>
    <t>TVTR1ATG0166</t>
  </si>
  <si>
    <t>887096120337</t>
  </si>
  <si>
    <t>883498614818</t>
  </si>
  <si>
    <t>BLUE/RED CHECK</t>
  </si>
  <si>
    <t>TVTR1ATG0126</t>
  </si>
  <si>
    <t>193623670634</t>
  </si>
  <si>
    <t>RIP STOP "NEW OBAMA" JAC</t>
  </si>
  <si>
    <t>CM901007</t>
  </si>
  <si>
    <t>SHELL: BONDED POLYESTER; LINING: POLYESTER</t>
  </si>
  <si>
    <t>663309678389</t>
  </si>
  <si>
    <t>PRINTED CAMO FAUX SUEDE</t>
  </si>
  <si>
    <t>HK191601</t>
  </si>
  <si>
    <t>681283165039</t>
  </si>
  <si>
    <t>ZAC</t>
  </si>
  <si>
    <t>M42408SDK301</t>
  </si>
  <si>
    <t>SILVER/WESTERN GLOVE WORKS</t>
  </si>
  <si>
    <t>883498645751</t>
  </si>
  <si>
    <t>193145920927</t>
  </si>
  <si>
    <t>X FLEX BLKD JKT</t>
  </si>
  <si>
    <t>BV3303</t>
  </si>
  <si>
    <t>NIKE USA INC</t>
  </si>
  <si>
    <t>SHELL, MESH: NYLON</t>
  </si>
  <si>
    <t>883498661546</t>
  </si>
  <si>
    <t>CRANBERRY SUEDE</t>
  </si>
  <si>
    <t>LNLY12VW0019</t>
  </si>
  <si>
    <t>FAUX-SUEDE SHELL: POLYESTER; LINING: POLYESTER</t>
  </si>
  <si>
    <t>749862417136</t>
  </si>
  <si>
    <t>NATURAL STRCH POPLN-CL B</t>
  </si>
  <si>
    <t>749862958752</t>
  </si>
  <si>
    <t>COTTON STRTCH TWILL-STFB</t>
  </si>
  <si>
    <t>885400907384</t>
  </si>
  <si>
    <t>749862958837</t>
  </si>
  <si>
    <t>42X30</t>
  </si>
  <si>
    <t>885400907438</t>
  </si>
  <si>
    <t>885400907407</t>
  </si>
  <si>
    <t>40X32</t>
  </si>
  <si>
    <t>749862722438</t>
  </si>
  <si>
    <t>BEDFORD CHINO-CFBEDFORDP</t>
  </si>
  <si>
    <t>883498597173</t>
  </si>
  <si>
    <t>PANT CHAR BLUE WINDOW</t>
  </si>
  <si>
    <t>TLYRPBT50000</t>
  </si>
  <si>
    <t>883498597029</t>
  </si>
  <si>
    <t>883498591911</t>
  </si>
  <si>
    <t>LAUREN PLAIN LIGHT GREY</t>
  </si>
  <si>
    <t>EDDWPRR40000</t>
  </si>
  <si>
    <t>883498623407</t>
  </si>
  <si>
    <t>LAUREN PLAIN GREY</t>
  </si>
  <si>
    <t>EDDWPALZ0041</t>
  </si>
  <si>
    <t>192617007708</t>
  </si>
  <si>
    <t>TANGO TAPE BACK TRACK JK</t>
  </si>
  <si>
    <t>DY5826</t>
  </si>
  <si>
    <t>COTTON/RECYCLED POLYESTER</t>
  </si>
  <si>
    <t>885608064353</t>
  </si>
  <si>
    <t>193148091518</t>
  </si>
  <si>
    <t>PURE PLAT VAPOR HTHR BLDE POLO</t>
  </si>
  <si>
    <t>CI8982</t>
  </si>
  <si>
    <t>193238941631</t>
  </si>
  <si>
    <t>511 TROUSER OPAL GREY</t>
  </si>
  <si>
    <t>889319234784</t>
  </si>
  <si>
    <t>511 TROUSER BLK</t>
  </si>
  <si>
    <t>889319233572</t>
  </si>
  <si>
    <t>889319234609</t>
  </si>
  <si>
    <t>193239915235</t>
  </si>
  <si>
    <t>192609299807</t>
  </si>
  <si>
    <t>CONA FIREBIRD TT</t>
  </si>
  <si>
    <t>ED6070</t>
  </si>
  <si>
    <t>192609299746</t>
  </si>
  <si>
    <t>749194696803</t>
  </si>
  <si>
    <t>CKJ 026 SKINNY (CK EMBRO</t>
  </si>
  <si>
    <t>41Q4026</t>
  </si>
  <si>
    <t>52176096523</t>
  </si>
  <si>
    <t>MED 569 LOOSE STRAIGHT S</t>
  </si>
  <si>
    <t>39307626224</t>
  </si>
  <si>
    <t>569 JAGGER</t>
  </si>
  <si>
    <t>193148204314</t>
  </si>
  <si>
    <t>DRY AOP POLO</t>
  </si>
  <si>
    <t>AT4148</t>
  </si>
  <si>
    <t>RECYCLED POLYESTER</t>
  </si>
  <si>
    <t>192810749399</t>
  </si>
  <si>
    <t>192811538114</t>
  </si>
  <si>
    <t>192810749566</t>
  </si>
  <si>
    <t>636189946169</t>
  </si>
  <si>
    <t>OVERSIZED WINDOW CH</t>
  </si>
  <si>
    <t>100038303MN</t>
  </si>
  <si>
    <t>192290950803</t>
  </si>
  <si>
    <t>SLACK TIDE SHORT</t>
  </si>
  <si>
    <t>741065089608</t>
  </si>
  <si>
    <t>RELAXED TAPERERED FL</t>
  </si>
  <si>
    <t>43LB653</t>
  </si>
  <si>
    <t>DKNY MENS</t>
  </si>
  <si>
    <t>DKNY SPORTSWEAR/5 STAR APPAREL</t>
  </si>
  <si>
    <t>889819387263</t>
  </si>
  <si>
    <t>UA CG ARMOUR MOCK</t>
  </si>
  <si>
    <t>87% POLYESTER/13% ELASTANEIMPORTED</t>
  </si>
  <si>
    <t>20204373267</t>
  </si>
  <si>
    <t>DOWNHILL SKIER SCARF</t>
  </si>
  <si>
    <t>PC0273</t>
  </si>
  <si>
    <t>POLO-ECHO DESIGN GROUP</t>
  </si>
  <si>
    <t>791273013810</t>
  </si>
  <si>
    <t>PEAC VAN SANT PONGEE PANT</t>
  </si>
  <si>
    <t>LM915187</t>
  </si>
  <si>
    <t>NYLON</t>
  </si>
  <si>
    <t>683801987604</t>
  </si>
  <si>
    <t>AUSTIN DARK BLUE</t>
  </si>
  <si>
    <t>41BA362</t>
  </si>
  <si>
    <t>683801577324</t>
  </si>
  <si>
    <t>CKJ 026: SLIM ADIRONDACK</t>
  </si>
  <si>
    <t>41M5615</t>
  </si>
  <si>
    <t>193150997334</t>
  </si>
  <si>
    <t>GLCT M NSW JDI JGGR FLC B</t>
  </si>
  <si>
    <t>BV5099</t>
  </si>
  <si>
    <t>193150997952</t>
  </si>
  <si>
    <t>GRAB M NSW JDI HOODIE PO</t>
  </si>
  <si>
    <t>BV5124</t>
  </si>
  <si>
    <t>193150997341</t>
  </si>
  <si>
    <t>631712478704</t>
  </si>
  <si>
    <t>STEEL STRETCH RF NNI CHE</t>
  </si>
  <si>
    <t>33K4677</t>
  </si>
  <si>
    <t>631712477653</t>
  </si>
  <si>
    <t>LS SLM PLAID</t>
  </si>
  <si>
    <t>33K4667</t>
  </si>
  <si>
    <t>631712478643</t>
  </si>
  <si>
    <t>631712478575</t>
  </si>
  <si>
    <t>631712477639</t>
  </si>
  <si>
    <t>631712477684</t>
  </si>
  <si>
    <t>631712477721</t>
  </si>
  <si>
    <t>631712478636</t>
  </si>
  <si>
    <t>192616403600</t>
  </si>
  <si>
    <t>TIRO TRACK JKT</t>
  </si>
  <si>
    <t>FJ9429</t>
  </si>
  <si>
    <t>39307087087</t>
  </si>
  <si>
    <t>505 REG FIT BT MED S</t>
  </si>
  <si>
    <t>48X32</t>
  </si>
  <si>
    <t>193145866430</t>
  </si>
  <si>
    <t>X DRY BLOCKED PO HOOD</t>
  </si>
  <si>
    <t>88541850032</t>
  </si>
  <si>
    <t>JOGGER</t>
  </si>
  <si>
    <t>09T3618</t>
  </si>
  <si>
    <t>88541896825</t>
  </si>
  <si>
    <t>88541896528</t>
  </si>
  <si>
    <t>L/S PULLOVER</t>
  </si>
  <si>
    <t>09T3605</t>
  </si>
  <si>
    <t>88541896948</t>
  </si>
  <si>
    <t>828422165783</t>
  </si>
  <si>
    <t>COMPOSITION VOLLEY C</t>
  </si>
  <si>
    <t>SU9106019</t>
  </si>
  <si>
    <t>O'NEILL SPORTSWEAR</t>
  </si>
  <si>
    <t>45% POLYESTER 37% NYLON 11% COTTON 7% ELASTANE</t>
  </si>
  <si>
    <t>883498781213</t>
  </si>
  <si>
    <t>NAVY PIN PNT</t>
  </si>
  <si>
    <t>MEOLPQ3Z38</t>
  </si>
  <si>
    <t>POLYESTER/VISCOSE/SPANDEX</t>
  </si>
  <si>
    <t>193103994151</t>
  </si>
  <si>
    <t>BLAC BOS GRID TI</t>
  </si>
  <si>
    <t>FR8272</t>
  </si>
  <si>
    <t>192614618259</t>
  </si>
  <si>
    <t>BLAC M TI JOGGER</t>
  </si>
  <si>
    <t>DX9270</t>
  </si>
  <si>
    <t>193099072284</t>
  </si>
  <si>
    <t>LEGI M TI TAPE PANT</t>
  </si>
  <si>
    <t>FN5478</t>
  </si>
  <si>
    <t>193103998111</t>
  </si>
  <si>
    <t>DGRE BOS GRID TI</t>
  </si>
  <si>
    <t>FR8271</t>
  </si>
  <si>
    <t>192617747925</t>
  </si>
  <si>
    <t>193102283515</t>
  </si>
  <si>
    <t>BRAM TI PULLOVER</t>
  </si>
  <si>
    <t>GK6134</t>
  </si>
  <si>
    <t>193103821549</t>
  </si>
  <si>
    <t>LEGI BOS GRID TI</t>
  </si>
  <si>
    <t>FR8275</t>
  </si>
  <si>
    <t>193102267935</t>
  </si>
  <si>
    <t>GK6135</t>
  </si>
  <si>
    <t>887096006198</t>
  </si>
  <si>
    <t>HITCV39T0000</t>
  </si>
  <si>
    <t>887096022082</t>
  </si>
  <si>
    <t>LAUREN WINDOW DARK GREY</t>
  </si>
  <si>
    <t>HNSNV39T0004</t>
  </si>
  <si>
    <t>732994777124</t>
  </si>
  <si>
    <t>732994777148</t>
  </si>
  <si>
    <t>732994777162</t>
  </si>
  <si>
    <t>732994777186</t>
  </si>
  <si>
    <t>732994777117</t>
  </si>
  <si>
    <t>732994777131</t>
  </si>
  <si>
    <t>192616222935</t>
  </si>
  <si>
    <t>TANGO AOP CAMO JERSEY</t>
  </si>
  <si>
    <t>DY5843</t>
  </si>
  <si>
    <t>RECYCLED POLYESTER/POLYESTER</t>
  </si>
  <si>
    <t>192616075128</t>
  </si>
  <si>
    <t>DZ9536</t>
  </si>
  <si>
    <t>11333859357</t>
  </si>
  <si>
    <t>LS TALL TEK FIT NI</t>
  </si>
  <si>
    <t>731516211238</t>
  </si>
  <si>
    <t>W93117-CASUAL PRINT</t>
  </si>
  <si>
    <t>W93117</t>
  </si>
  <si>
    <t>192861044986</t>
  </si>
  <si>
    <t>192861044931</t>
  </si>
  <si>
    <t>192861300327</t>
  </si>
  <si>
    <t>AMETHYST SQUARE DOBBY CO</t>
  </si>
  <si>
    <t>RSD101RW205</t>
  </si>
  <si>
    <t>190697897608</t>
  </si>
  <si>
    <t>11333879966</t>
  </si>
  <si>
    <t>5713758164713</t>
  </si>
  <si>
    <t>JJICHOP JJCARGO SHORTS A</t>
  </si>
  <si>
    <t>FRSTYL COLLEC</t>
  </si>
  <si>
    <t>ONLY &amp; SONS/BESTSELLER WHOLESALE US</t>
  </si>
  <si>
    <t>192290857980</t>
  </si>
  <si>
    <t>TAMIAMI II SS SHIRT BASIC</t>
  </si>
  <si>
    <t>192290857997</t>
  </si>
  <si>
    <t>886535528161</t>
  </si>
  <si>
    <t>732998125600</t>
  </si>
  <si>
    <t>608381633505</t>
  </si>
  <si>
    <t>SCARF BULLDOG CREW</t>
  </si>
  <si>
    <t>100034219MN</t>
  </si>
  <si>
    <t>191603964766</t>
  </si>
  <si>
    <t>PINE RAND FLC JKT BASIC</t>
  </si>
  <si>
    <t>3LDLK6541</t>
  </si>
  <si>
    <t>191603964759</t>
  </si>
  <si>
    <t>889319968559</t>
  </si>
  <si>
    <t>889812137575</t>
  </si>
  <si>
    <t>CARRIER SHORT DRESS BLUES</t>
  </si>
  <si>
    <t>889319524069</t>
  </si>
  <si>
    <t>191603964841</t>
  </si>
  <si>
    <t>CABE RAND FLC JKT BASIC</t>
  </si>
  <si>
    <t>191603964803</t>
  </si>
  <si>
    <t>191764713609</t>
  </si>
  <si>
    <t>DENIM MATTHEW NEW WESTE</t>
  </si>
  <si>
    <t>3LGLW1344</t>
  </si>
  <si>
    <t>670113774886</t>
  </si>
  <si>
    <t>SS SOLID DECK PIQUE</t>
  </si>
  <si>
    <t>K93000</t>
  </si>
  <si>
    <t>192166406526</t>
  </si>
  <si>
    <t>190235705068</t>
  </si>
  <si>
    <t>ECLECTIC ELASTIC SHORT</t>
  </si>
  <si>
    <t>M116UREE</t>
  </si>
  <si>
    <t>RVCA/BOARDRIDERS WHOLESALE LLC</t>
  </si>
  <si>
    <t>COTTON/RECYCLED POLYESTER/ELASTANE</t>
  </si>
  <si>
    <t>11333936683</t>
  </si>
  <si>
    <t>PLACED MODERN VARSITY CA</t>
  </si>
  <si>
    <t>1CK0600</t>
  </si>
  <si>
    <t>636206629921</t>
  </si>
  <si>
    <t>712848563639</t>
  </si>
  <si>
    <t>TOTAL ORIGINAL RETAIL</t>
  </si>
  <si>
    <t>UPC</t>
  </si>
  <si>
    <t>ITEM DESCRIPTION</t>
  </si>
  <si>
    <t>ORIGINAL QTY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</si>
  <si>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</si>
  <si>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</si>
  <si>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</si>
  <si>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</si>
  <si>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</si>
  <si>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</si>
  <si>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</si>
  <si>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</si>
  <si>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767325074412</t>
  </si>
  <si>
    <t>CASHMERE-LS CN PP-LONG S</t>
  </si>
  <si>
    <t>NAVY</t>
  </si>
  <si>
    <t>MEDIUM S/S</t>
  </si>
  <si>
    <t>MENS POLO</t>
  </si>
  <si>
    <t>POLO RALPH LAUREN</t>
  </si>
  <si>
    <t>IMPORTED</t>
  </si>
  <si>
    <t>CASHMERE</t>
  </si>
  <si>
    <t>885400510089</t>
  </si>
  <si>
    <t>DOUBLE KNIT TECH-LSFZM4-</t>
  </si>
  <si>
    <t>BLACK</t>
  </si>
  <si>
    <t>XSML</t>
  </si>
  <si>
    <t>SHELL: POLYESTER/COTTON; CUFFS AND HEM: COTTON/POLYESTER/ELASTANE</t>
  </si>
  <si>
    <t>663309608423</t>
  </si>
  <si>
    <t>TIGER EMBROIDERY HOODIE</t>
  </si>
  <si>
    <t>FK194538</t>
  </si>
  <si>
    <t>BRIGHT RED</t>
  </si>
  <si>
    <t>SEAN JOHN</t>
  </si>
  <si>
    <t>SEAN JOHN BIG&amp;TALL/PACIFIC ALLIANCE</t>
  </si>
  <si>
    <t>100% COTTON</t>
  </si>
  <si>
    <t>885400287714</t>
  </si>
  <si>
    <t>TEXTURED HZ</t>
  </si>
  <si>
    <t>GREEN</t>
  </si>
  <si>
    <t>COTTON</t>
  </si>
  <si>
    <t>749862625296</t>
  </si>
  <si>
    <t>10 W STRETCH CORDUR-CFNE</t>
  </si>
  <si>
    <t>BEIGEKHAKI</t>
  </si>
  <si>
    <t>32X30</t>
  </si>
  <si>
    <t>COTTON/ELASTANE</t>
  </si>
  <si>
    <t>885400287721</t>
  </si>
  <si>
    <t>SMALL S/S</t>
  </si>
  <si>
    <t>885400287738</t>
  </si>
  <si>
    <t>XLARGE S/S</t>
  </si>
  <si>
    <t>887622984655</t>
  </si>
  <si>
    <t>5 POCKET JEAN</t>
  </si>
  <si>
    <t>FJ182809</t>
  </si>
  <si>
    <t>TURQ/AQUA</t>
  </si>
  <si>
    <t>34X30</t>
  </si>
  <si>
    <t>COTTON/LYCRA® SPANDEX</t>
  </si>
  <si>
    <t>663309683239</t>
  </si>
  <si>
    <t>JACQUARD TIGER SWEATER</t>
  </si>
  <si>
    <t>HS192120</t>
  </si>
  <si>
    <t>BRNOVERFLW</t>
  </si>
  <si>
    <t>2XLRG M/R</t>
  </si>
  <si>
    <t>COTTON/POLYESTER</t>
  </si>
  <si>
    <t>682510022965</t>
  </si>
  <si>
    <t>GLACIER ATHLETIC JEAN</t>
  </si>
  <si>
    <t>J913</t>
  </si>
  <si>
    <t>DARK BLUE</t>
  </si>
  <si>
    <t>30X30</t>
  </si>
  <si>
    <t>COTTON/LYCRA</t>
  </si>
  <si>
    <t>663309683246</t>
  </si>
  <si>
    <t>3XLRG S/S</t>
  </si>
  <si>
    <t>732997754610</t>
  </si>
  <si>
    <t>MICRO SEQUIN SLM BLZ</t>
  </si>
  <si>
    <t>INC MENS</t>
  </si>
  <si>
    <t>INC-MMG</t>
  </si>
  <si>
    <t>POLYESTER/SPANDEX</t>
  </si>
  <si>
    <t>712169418472</t>
  </si>
  <si>
    <t>DOUBLE KNIT JERSEY</t>
  </si>
  <si>
    <t>SHELL: COTTON/VISCOSE/NYLON; CUFFS AND HEM: COTTON/VISCOSE/ELASTANE</t>
  </si>
  <si>
    <t>749862276702</t>
  </si>
  <si>
    <t>OXFORD-CL BD PPCSPT-LONG</t>
  </si>
  <si>
    <t>ASSORTED</t>
  </si>
  <si>
    <t>ALL COTTON</t>
  </si>
  <si>
    <t>712169418441</t>
  </si>
  <si>
    <t>LARGE S/S</t>
  </si>
  <si>
    <t>712169418496</t>
  </si>
  <si>
    <t>XXLRG S/S</t>
  </si>
  <si>
    <t>663309595587</t>
  </si>
  <si>
    <t>L/S BUFFALO SHIRT</t>
  </si>
  <si>
    <t>FW194418</t>
  </si>
  <si>
    <t>889319764106</t>
  </si>
  <si>
    <t>514 KTOWN</t>
  </si>
  <si>
    <t>MED BLUE</t>
  </si>
  <si>
    <t>30X32</t>
  </si>
  <si>
    <t>YM'S LEVIS</t>
  </si>
  <si>
    <t>LEVI STRAUSS</t>
  </si>
  <si>
    <t>732997754573</t>
  </si>
  <si>
    <t>SHINY VELVET BLAZER</t>
  </si>
  <si>
    <t>PURPLE</t>
  </si>
  <si>
    <t>732997946534</t>
  </si>
  <si>
    <t>ENGRD FLRL SLM BLZ</t>
  </si>
  <si>
    <t>749194644507</t>
  </si>
  <si>
    <t>MERINO BLEND COLOR BLOCK</t>
  </si>
  <si>
    <t>40Q7008</t>
  </si>
  <si>
    <t>BRIGHT GRN</t>
  </si>
  <si>
    <t>MNS CK COLLEC</t>
  </si>
  <si>
    <t>CALVIN KLEIN SP/PHILLIPS-VAN HEUSEN</t>
  </si>
  <si>
    <t>ACRYLIC/WOOL/NYLON/ELASTANE</t>
  </si>
  <si>
    <t>52175169433</t>
  </si>
  <si>
    <t>541 SHIP YARD</t>
  </si>
  <si>
    <t>34X36</t>
  </si>
  <si>
    <t>193239909791</t>
  </si>
  <si>
    <t>502 OPAL GREY CORD</t>
  </si>
  <si>
    <t>GRAY</t>
  </si>
  <si>
    <t>34X32</t>
  </si>
  <si>
    <t>193238310413</t>
  </si>
  <si>
    <t>502 TAPER CAVIAR WAR</t>
  </si>
  <si>
    <t>36X34</t>
  </si>
  <si>
    <t>193238310246</t>
  </si>
  <si>
    <t>34X34</t>
  </si>
  <si>
    <t>889319233398</t>
  </si>
  <si>
    <t>511 TROUSER COUGAR</t>
  </si>
  <si>
    <t>RUSTCOPPER</t>
  </si>
  <si>
    <t>28X30</t>
  </si>
  <si>
    <t>889319233404</t>
  </si>
  <si>
    <t>28X32</t>
  </si>
  <si>
    <t>193238962964</t>
  </si>
  <si>
    <t>511 SLIM HARVEST GOL</t>
  </si>
  <si>
    <t>BROWN</t>
  </si>
  <si>
    <t>COTTON/POLYESTER/ELASTANE</t>
  </si>
  <si>
    <t>193238963251</t>
  </si>
  <si>
    <t>502 LEAD GREY CORD</t>
  </si>
  <si>
    <t>193238310208</t>
  </si>
  <si>
    <t>193239909845</t>
  </si>
  <si>
    <t>192379319927</t>
  </si>
  <si>
    <t>511 MINERAL BLK FLANNEL</t>
  </si>
  <si>
    <t>29X30</t>
  </si>
  <si>
    <t>193238963237</t>
  </si>
  <si>
    <t>31X32</t>
  </si>
  <si>
    <t>889319233435</t>
  </si>
  <si>
    <t>193239913545</t>
  </si>
  <si>
    <t>502 TAPER NIGHTWATCH</t>
  </si>
  <si>
    <t>193239913590</t>
  </si>
  <si>
    <t>193239913606</t>
  </si>
  <si>
    <t>32X32</t>
  </si>
  <si>
    <t>192379320091</t>
  </si>
  <si>
    <t>38X30</t>
  </si>
  <si>
    <t>193238962841</t>
  </si>
  <si>
    <t>511 SLIM WINETASTING</t>
  </si>
  <si>
    <t>RED</t>
  </si>
  <si>
    <t>38X32</t>
  </si>
  <si>
    <t>193238605342</t>
  </si>
  <si>
    <t>511 CHILI PEPPER</t>
  </si>
  <si>
    <t>193239915198</t>
  </si>
  <si>
    <t>193238962797</t>
  </si>
  <si>
    <t>889319233466</t>
  </si>
  <si>
    <t>193239915273</t>
  </si>
  <si>
    <t>193238963398</t>
  </si>
  <si>
    <t>192379398991</t>
  </si>
  <si>
    <t>511 SLIM NIGHTWATCH</t>
  </si>
  <si>
    <t>31X30</t>
  </si>
  <si>
    <t>889319233459</t>
  </si>
  <si>
    <t>193238338721</t>
  </si>
  <si>
    <t>512 PHALAROPE CAMO</t>
  </si>
  <si>
    <t>193238310543</t>
  </si>
  <si>
    <t>193238962896</t>
  </si>
  <si>
    <t>193239909821</t>
  </si>
  <si>
    <t>192379320008</t>
  </si>
  <si>
    <t>32X34</t>
  </si>
  <si>
    <t>193239909838</t>
  </si>
  <si>
    <t>36X32</t>
  </si>
  <si>
    <t>193239909869</t>
  </si>
  <si>
    <t>193239909722</t>
  </si>
  <si>
    <t>33X32</t>
  </si>
  <si>
    <t>193239909630</t>
  </si>
  <si>
    <t>191816602349</t>
  </si>
  <si>
    <t>192379436761</t>
  </si>
  <si>
    <t>193238310147</t>
  </si>
  <si>
    <t>193238963374</t>
  </si>
  <si>
    <t>889319233428</t>
  </si>
  <si>
    <t>29X32</t>
  </si>
  <si>
    <t>193239913804</t>
  </si>
  <si>
    <t>33X30</t>
  </si>
  <si>
    <t>193239043198</t>
  </si>
  <si>
    <t>193238309943</t>
  </si>
  <si>
    <t>193239915167</t>
  </si>
  <si>
    <t>193238310376</t>
  </si>
  <si>
    <t>193239913569</t>
  </si>
  <si>
    <t>193239915266</t>
  </si>
  <si>
    <t>193238319959</t>
  </si>
  <si>
    <t>502 TAPER OLIVE NIGH</t>
  </si>
  <si>
    <t>192531697160</t>
  </si>
  <si>
    <t>501 BLK NEON STF</t>
  </si>
  <si>
    <t>44X32</t>
  </si>
  <si>
    <t>192531697092</t>
  </si>
  <si>
    <t>40X30</t>
  </si>
  <si>
    <t>885608939354</t>
  </si>
  <si>
    <t>501 MIDNIGHT STF</t>
  </si>
  <si>
    <t>32X36</t>
  </si>
  <si>
    <t>8763089300</t>
  </si>
  <si>
    <t>WARREN PLAID CLF LS 100S</t>
  </si>
  <si>
    <t>78E1909</t>
  </si>
  <si>
    <t>MED BROWN</t>
  </si>
  <si>
    <t>MENS HILFIGER</t>
  </si>
  <si>
    <t>TOMMY HILFIGER</t>
  </si>
  <si>
    <t>52176022447</t>
  </si>
  <si>
    <t>511 BLACK DELL DESCTRUCT</t>
  </si>
  <si>
    <t>11333888371</t>
  </si>
  <si>
    <t>LS REG NI WOOL</t>
  </si>
  <si>
    <t>35S1694</t>
  </si>
  <si>
    <t>STATUS DR SHT</t>
  </si>
  <si>
    <t>MICHAEL KORS/DESIGNER/VAN HEUSEN</t>
  </si>
  <si>
    <t>192811597678</t>
  </si>
  <si>
    <t>UNSTOPPABLE ESS TRACK PANT</t>
  </si>
  <si>
    <t>UNDER ARMOUR</t>
  </si>
  <si>
    <t>POLYESTER</t>
  </si>
  <si>
    <t>192810738386</t>
  </si>
  <si>
    <t>UNSTOPPABLE ESS TRACK JKT</t>
  </si>
  <si>
    <t>192811597623</t>
  </si>
  <si>
    <t>732996825267</t>
  </si>
  <si>
    <t>RITZIO SWEATER JACKE</t>
  </si>
  <si>
    <t>XSMLMEDREG</t>
  </si>
  <si>
    <t>INC MENS-MMG</t>
  </si>
  <si>
    <t>SHELL: COTTON/ACRYLIC; WOVEN, LINING AND FILL: POLYESTER</t>
  </si>
  <si>
    <t>636189280294</t>
  </si>
  <si>
    <t>BRONX SWACKET BASIC</t>
  </si>
  <si>
    <t>7N410540</t>
  </si>
  <si>
    <t>FAUX LEATHER SHELL AND FAUX LEATHER FACE: POLYURETHANE; BACKING: POLYESTER; BACK PANEL AND SLEEVE: COTTON; FAUX FUR LINING: POLYESTER</t>
  </si>
  <si>
    <t>8763081908</t>
  </si>
  <si>
    <t>SLIM FIT CHINO PANT</t>
  </si>
  <si>
    <t>78E1744</t>
  </si>
  <si>
    <t>732998156666</t>
  </si>
  <si>
    <t>BURDON JACKET</t>
  </si>
  <si>
    <t>WINE</t>
  </si>
  <si>
    <t>191291739790</t>
  </si>
  <si>
    <t>502 STEEL GREY</t>
  </si>
  <si>
    <t>192379952834</t>
  </si>
  <si>
    <t>514 SQUAD CORD</t>
  </si>
  <si>
    <t>192379952865</t>
  </si>
  <si>
    <t>735991637217</t>
  </si>
  <si>
    <t>BORD LS NI SLIM FIT DOBBY</t>
  </si>
  <si>
    <t>33K2479</t>
  </si>
  <si>
    <t>DARK RED</t>
  </si>
  <si>
    <t>14.5X32-33</t>
  </si>
  <si>
    <t>CALVIN KLEIN/VAN HEUSEN</t>
  </si>
  <si>
    <t>694786123680</t>
  </si>
  <si>
    <t>LS NI REG FIT BC FCY</t>
  </si>
  <si>
    <t>33K3129</t>
  </si>
  <si>
    <t>16X32-33"</t>
  </si>
  <si>
    <t>694786123987</t>
  </si>
  <si>
    <t>16X34-35"</t>
  </si>
  <si>
    <t>694786123666</t>
  </si>
  <si>
    <t>15X32-33"</t>
  </si>
  <si>
    <t>735991637354</t>
  </si>
  <si>
    <t>18X34-35"</t>
  </si>
  <si>
    <t>694786123970</t>
  </si>
  <si>
    <t>15.5X34-35</t>
  </si>
  <si>
    <t>735991637408</t>
  </si>
  <si>
    <t>11333729995</t>
  </si>
  <si>
    <t>LS ATHLETIC STRETCH</t>
  </si>
  <si>
    <t>24N1465</t>
  </si>
  <si>
    <t>TOMMY HILFIGER/DESIGNER GROUP</t>
  </si>
  <si>
    <t>POLYESTER/COTTON/ELASTANE</t>
  </si>
  <si>
    <t>11333730120</t>
  </si>
  <si>
    <t>735991637255</t>
  </si>
  <si>
    <t>16.5X32-33</t>
  </si>
  <si>
    <t>694786123994</t>
  </si>
  <si>
    <t>16.5X34-35</t>
  </si>
  <si>
    <t>11333700772</t>
  </si>
  <si>
    <t>LS SLM NI STRETCH</t>
  </si>
  <si>
    <t>24N1520</t>
  </si>
  <si>
    <t>WHITE</t>
  </si>
  <si>
    <t>SUPIMA® COTTON/ELASTANE</t>
  </si>
  <si>
    <t>735991637248</t>
  </si>
  <si>
    <t>39307108133</t>
  </si>
  <si>
    <t>MW BIG &amp; TALL 501 BASIC</t>
  </si>
  <si>
    <t>52X34</t>
  </si>
  <si>
    <t>LEVI BIG&amp;TALL</t>
  </si>
  <si>
    <t>11531864108</t>
  </si>
  <si>
    <t>BRIEF 6PK</t>
  </si>
  <si>
    <t>NB1898</t>
  </si>
  <si>
    <t>BLUE</t>
  </si>
  <si>
    <t>MENS UNDERWEA</t>
  </si>
  <si>
    <t>CALVIN KLEIN-WARNACO</t>
  </si>
  <si>
    <t>888728992261</t>
  </si>
  <si>
    <t>TECH GOLF SHORT</t>
  </si>
  <si>
    <t>DARK BEIGE</t>
  </si>
  <si>
    <t>34 REG</t>
  </si>
  <si>
    <t>POLYESTER/ELASTANE</t>
  </si>
  <si>
    <t>192006873136</t>
  </si>
  <si>
    <t>192565985295</t>
  </si>
  <si>
    <t>CHARCOAL</t>
  </si>
  <si>
    <t>192564743117</t>
  </si>
  <si>
    <t>192379802979</t>
  </si>
  <si>
    <t>ALPHA KHAKI SLIM</t>
  </si>
  <si>
    <t>DOCKERS</t>
  </si>
  <si>
    <t>DOCKERS/LEVI STRAUSS</t>
  </si>
  <si>
    <t>732994777179</t>
  </si>
  <si>
    <t>ABSTRACT VLVT SLM PT</t>
  </si>
  <si>
    <t>MEDIUM RED</t>
  </si>
  <si>
    <t>719250353254</t>
  </si>
  <si>
    <t>COBA LS ATH NI STRETCH</t>
  </si>
  <si>
    <t>24N0902</t>
  </si>
  <si>
    <t>BRIGHTBLUE</t>
  </si>
  <si>
    <t>15X34-35"</t>
  </si>
  <si>
    <t>11333879942</t>
  </si>
  <si>
    <t>GREY SLIM SOLID</t>
  </si>
  <si>
    <t>33K4743</t>
  </si>
  <si>
    <t>DARK GRAY</t>
  </si>
  <si>
    <t>732998125655</t>
  </si>
  <si>
    <t>SPR SMALL GLENPLAID</t>
  </si>
  <si>
    <t>100088767MN</t>
  </si>
  <si>
    <t>17X34-35"</t>
  </si>
  <si>
    <t>PB DRS SHIRTS</t>
  </si>
  <si>
    <t>MMG-CLUBROOM</t>
  </si>
  <si>
    <t>732998125617</t>
  </si>
  <si>
    <t>732998125686</t>
  </si>
  <si>
    <t>732998125587</t>
  </si>
  <si>
    <t>15.5X32-33</t>
  </si>
  <si>
    <t>732998125594</t>
  </si>
  <si>
    <t>732998125624</t>
  </si>
  <si>
    <t>732998125570</t>
  </si>
  <si>
    <t>732998125693</t>
  </si>
  <si>
    <t>18.5X34-35</t>
  </si>
  <si>
    <t>889319521662</t>
  </si>
  <si>
    <t>CARRIER SHORT BLACK</t>
  </si>
  <si>
    <t>31 REG</t>
  </si>
  <si>
    <t>22653607863</t>
  </si>
  <si>
    <t>SLKHT ST LEATHER M</t>
  </si>
  <si>
    <t>640M4</t>
  </si>
  <si>
    <t>MENS SEAS ACC</t>
  </si>
  <si>
    <t>TOTES ISOTONER CORP</t>
  </si>
  <si>
    <t>LEATHER; LINING: POLYESTER</t>
  </si>
  <si>
    <t>22653607887</t>
  </si>
  <si>
    <t>22653607870</t>
  </si>
  <si>
    <t>889319524014</t>
  </si>
  <si>
    <t>CARRIER SHORT TRUE CHINO</t>
  </si>
  <si>
    <t>BEIGE</t>
  </si>
  <si>
    <t>33 REG</t>
  </si>
  <si>
    <t>889319523994</t>
  </si>
  <si>
    <t>30 REG</t>
  </si>
  <si>
    <t>22653607856</t>
  </si>
  <si>
    <t>SLKHT ST STRCH LT M</t>
  </si>
  <si>
    <t>639M4</t>
  </si>
  <si>
    <t>LEATHER; FOURCHETTES: NYLON/LYCRA® SPANDEX; LINING: POLYESTER</t>
  </si>
  <si>
    <t>22653607832</t>
  </si>
  <si>
    <t>883498668767</t>
  </si>
  <si>
    <t>CALVIN KLEIN INFINITE ST</t>
  </si>
  <si>
    <t>JAYDPJJY0116</t>
  </si>
  <si>
    <t>36X29</t>
  </si>
  <si>
    <t>MEN DR PANTS</t>
  </si>
  <si>
    <t>CK/PEERLESS CLOTHING INT'L</t>
  </si>
  <si>
    <t>POLYESTER/RAYON/SPANDEX</t>
  </si>
  <si>
    <t>193327302282</t>
  </si>
  <si>
    <t>SS BSC PYTHON PRINT CREW</t>
  </si>
  <si>
    <t>M94391K3WMU</t>
  </si>
  <si>
    <t>MENS GUESS</t>
  </si>
  <si>
    <t>GUESS INC</t>
  </si>
  <si>
    <t>193327395345</t>
  </si>
  <si>
    <t>OVRSZD COLORFUL OMBRE CR</t>
  </si>
  <si>
    <t>M9R391K9RM1</t>
  </si>
  <si>
    <t>193327395376</t>
  </si>
  <si>
    <t>889498151056</t>
  </si>
  <si>
    <t>TUXEDO DRESS SHIRT</t>
  </si>
  <si>
    <t>TLO9SSW130-001</t>
  </si>
  <si>
    <t>TALLIA</t>
  </si>
  <si>
    <t>TALLIA/A W CHANG CORPORATION</t>
  </si>
  <si>
    <t>97% COTTON/3% SPANDEX</t>
  </si>
  <si>
    <t>889498175861</t>
  </si>
  <si>
    <t>CHECK LONG SLEEVE CAMP S</t>
  </si>
  <si>
    <t>TLO9FSW802-624</t>
  </si>
  <si>
    <t>90% POLYESTER/10% SPANDEX</t>
  </si>
  <si>
    <t>889498174949</t>
  </si>
  <si>
    <t>CABLE STITCH SWEAT SHIRT</t>
  </si>
  <si>
    <t>TLO9FSK718-105</t>
  </si>
  <si>
    <t>NATURAL</t>
  </si>
  <si>
    <t>94% POLYESTER/6% SPANDEX</t>
  </si>
  <si>
    <t>192166406564</t>
  </si>
  <si>
    <t>UNLINED 5 PCOKET PANT ST</t>
  </si>
  <si>
    <t>F97227ME</t>
  </si>
  <si>
    <t>WTHRPRF VNTG</t>
  </si>
  <si>
    <t>WEATHERPROOF VINTAGE/WTHRPRF GARMNT</t>
  </si>
  <si>
    <t>COTTON/RAYON/SPANDEX</t>
  </si>
  <si>
    <t>617931080089</t>
  </si>
  <si>
    <t>2016 BIG STUDENT BLACK BASIC</t>
  </si>
  <si>
    <t>JS00TDN7008</t>
  </si>
  <si>
    <t>OSFA REG</t>
  </si>
  <si>
    <t>MEN'S BAGS</t>
  </si>
  <si>
    <t>JANSPORT-V F CORPORATION</t>
  </si>
  <si>
    <t>11333725324</t>
  </si>
  <si>
    <t>RIB KNIT INSERT CUFF</t>
  </si>
  <si>
    <t>1CK0447</t>
  </si>
  <si>
    <t>CALVIN KLEIN/VAN HEUSEN CLD WTHR</t>
  </si>
  <si>
    <t>LEATHER; LINING: POLYESTER; CUFF: ACRYLIC</t>
  </si>
  <si>
    <t>11333725317</t>
  </si>
  <si>
    <t>732998156444</t>
  </si>
  <si>
    <t>BATTLESTAR TRACK JKT</t>
  </si>
  <si>
    <t>732996677200</t>
  </si>
  <si>
    <t>ANIMAL PRNTD SLM PNT</t>
  </si>
  <si>
    <t>191603966944</t>
  </si>
  <si>
    <t>STONEY</t>
  </si>
  <si>
    <t>3LGLW1616</t>
  </si>
  <si>
    <t>LEVI/HYBRID PROMOTIONS</t>
  </si>
  <si>
    <t>191291239689</t>
  </si>
  <si>
    <t>DOWNTIME KHAKI STRT ST.</t>
  </si>
  <si>
    <t>88541907941</t>
  </si>
  <si>
    <t>BOXER BRIEF 3PK - EV</t>
  </si>
  <si>
    <t>09T3490</t>
  </si>
  <si>
    <t>TOMMY/VAN HEUSEN CORP</t>
  </si>
  <si>
    <t>636206629914</t>
  </si>
  <si>
    <t>LS I/F VICTOR SHIRT</t>
  </si>
  <si>
    <t>191291628827</t>
  </si>
  <si>
    <t>360 JEAN CUT STRAIGHT DE</t>
  </si>
  <si>
    <t>MED GREEN</t>
  </si>
  <si>
    <t>192660314457</t>
  </si>
  <si>
    <t>UTILIZER POLO</t>
  </si>
  <si>
    <t>BRGHT PINK</t>
  </si>
  <si>
    <t>COLUMBIA</t>
  </si>
  <si>
    <t>FIELD GEAR/COLUMBIA BRANDS USA, LLC</t>
  </si>
  <si>
    <t>883498663199</t>
  </si>
  <si>
    <t>LRN PV NAVY WINDOW</t>
  </si>
  <si>
    <t>NRTNPCPY0051</t>
  </si>
  <si>
    <t>LAUREN/PEERLESS CLOTHING</t>
  </si>
  <si>
    <t>POLYESTER/VISCOSE/ELASTANE</t>
  </si>
  <si>
    <t>191603984849</t>
  </si>
  <si>
    <t>HOLTBY</t>
  </si>
  <si>
    <t>3LGLW1618</t>
  </si>
  <si>
    <t>191603999584</t>
  </si>
  <si>
    <t>PINE DARROW</t>
  </si>
  <si>
    <t>3LGLW1595</t>
  </si>
  <si>
    <t>884411105659</t>
  </si>
  <si>
    <t>YANDA</t>
  </si>
  <si>
    <t>3LGLW1847</t>
  </si>
  <si>
    <t>REDOVERFLW</t>
  </si>
  <si>
    <t>191603984818</t>
  </si>
  <si>
    <t>884411099545</t>
  </si>
  <si>
    <t>AVALON</t>
  </si>
  <si>
    <t>3LGLW1912</t>
  </si>
  <si>
    <t>191603973812</t>
  </si>
  <si>
    <t>KINE</t>
  </si>
  <si>
    <t>3LGLW1620</t>
  </si>
  <si>
    <t>608381860673</t>
  </si>
  <si>
    <t>MALCOLM BOOTCUT JEAN BASIC</t>
  </si>
  <si>
    <t>INC DENM MENS</t>
  </si>
  <si>
    <t>INC FLYP-MMG</t>
  </si>
  <si>
    <t>732997754221</t>
  </si>
  <si>
    <t>SHINY VLVT SLM PNT</t>
  </si>
  <si>
    <t>884411090047</t>
  </si>
  <si>
    <t>CLEMENTE</t>
  </si>
  <si>
    <t>3LGLW1910</t>
  </si>
  <si>
    <t>191816701882</t>
  </si>
  <si>
    <t>STND CASUAL KHAKI SLIM T</t>
  </si>
  <si>
    <t>DARK BROWN</t>
  </si>
  <si>
    <t>COTTON/POLYAMIDE/ELASTANE</t>
  </si>
  <si>
    <t>884411089928</t>
  </si>
  <si>
    <t>ROSA</t>
  </si>
  <si>
    <t>3LGLW1907</t>
  </si>
  <si>
    <t>191603961147</t>
  </si>
  <si>
    <t>REESE</t>
  </si>
  <si>
    <t>3LGLW1571</t>
  </si>
  <si>
    <t>884411089966</t>
  </si>
  <si>
    <t>ROSA LS WOVEN</t>
  </si>
  <si>
    <t>732997599648</t>
  </si>
  <si>
    <t>CASHMERE HENLEY</t>
  </si>
  <si>
    <t>100076637MN</t>
  </si>
  <si>
    <t>MED GRAY</t>
  </si>
  <si>
    <t>TASSO ELBA</t>
  </si>
  <si>
    <t>TASSO ELBA-MMG</t>
  </si>
  <si>
    <t>COTTON/VISCOSE/SILK/CASHMERE</t>
  </si>
  <si>
    <t>11333934177</t>
  </si>
  <si>
    <t>MARLED REVERSE JERSEY SC</t>
  </si>
  <si>
    <t>1CK0120</t>
  </si>
  <si>
    <t>ACRYLIC</t>
  </si>
  <si>
    <t>11333934245</t>
  </si>
  <si>
    <t>HALF CARDIGAN RIB SCARF</t>
  </si>
  <si>
    <t>1CK0422</t>
  </si>
  <si>
    <t>674198386330</t>
  </si>
  <si>
    <t>NAVY CELESTRAL PAISLEY</t>
  </si>
  <si>
    <t>61D13NAVCB</t>
  </si>
  <si>
    <t>TASSO ELBA-EDI/TASSO ISLAND</t>
  </si>
  <si>
    <t>SILK/RAYON</t>
  </si>
  <si>
    <t>190849857832</t>
  </si>
  <si>
    <t>GALAXY</t>
  </si>
  <si>
    <t>JS00T50131T</t>
  </si>
  <si>
    <t>192166387535</t>
  </si>
  <si>
    <t>SNOWFLAKE CREW</t>
  </si>
  <si>
    <t>F94159ME</t>
  </si>
  <si>
    <t>LRG MEDREG</t>
  </si>
  <si>
    <t>732997708453</t>
  </si>
  <si>
    <t>CHST BLK TECH FLEECE</t>
  </si>
  <si>
    <t>100075865MN</t>
  </si>
  <si>
    <t>CLUBROOM</t>
  </si>
  <si>
    <t>CLUBROOM-MMG</t>
  </si>
  <si>
    <t>SHELL: POLYESTER/COTTON/SPANDEX; TRIM: COTTON/POLYESTER</t>
  </si>
  <si>
    <t>732998444909</t>
  </si>
  <si>
    <t>GNOVER SWEATER</t>
  </si>
  <si>
    <t>732998444916</t>
  </si>
  <si>
    <t>732998444978</t>
  </si>
  <si>
    <t>DARK PINK</t>
  </si>
  <si>
    <t>732998444961</t>
  </si>
  <si>
    <t>732998445036</t>
  </si>
  <si>
    <t>11333725379</t>
  </si>
  <si>
    <t>BASIC CUFF POINT</t>
  </si>
  <si>
    <t>1CK0448</t>
  </si>
  <si>
    <t>732997017456</t>
  </si>
  <si>
    <t>STING CARGO JOGGER</t>
  </si>
  <si>
    <t>100061436MN</t>
  </si>
  <si>
    <t>SUN/STONE MEN</t>
  </si>
  <si>
    <t>AMERICAN RAG-MMG</t>
  </si>
  <si>
    <t>COTTON/SPANDEX</t>
  </si>
  <si>
    <t>631712453404</t>
  </si>
  <si>
    <t>LS REG FLEX CHECK GREY</t>
  </si>
  <si>
    <t>20F6669</t>
  </si>
  <si>
    <t>17.5X32-33</t>
  </si>
  <si>
    <t>DRESS SHIRTS</t>
  </si>
  <si>
    <t>VAN HEUSEN</t>
  </si>
  <si>
    <t>631712453367</t>
  </si>
  <si>
    <t>631712453381</t>
  </si>
  <si>
    <t>631712453350</t>
  </si>
  <si>
    <t>631712453534</t>
  </si>
  <si>
    <t>11333971080</t>
  </si>
  <si>
    <t>631712499259</t>
  </si>
  <si>
    <t>LS WF REG TKFT STRET</t>
  </si>
  <si>
    <t>20F6621</t>
  </si>
  <si>
    <t>631712499372</t>
  </si>
  <si>
    <t>88541770385</t>
  </si>
  <si>
    <t>631712499242</t>
  </si>
  <si>
    <t>631712453572</t>
  </si>
  <si>
    <t>192166384459</t>
  </si>
  <si>
    <t>SOFT TOUCH 1/4 ZIP</t>
  </si>
  <si>
    <t>F95974ME</t>
  </si>
  <si>
    <t>631712453565</t>
  </si>
  <si>
    <t>88541870580</t>
  </si>
  <si>
    <t>LS WF REG STRETCH CHECK</t>
  </si>
  <si>
    <t>20F6643</t>
  </si>
  <si>
    <t>636193575218</t>
  </si>
  <si>
    <t>LS ANISTON PLAID</t>
  </si>
  <si>
    <t>100033589MN</t>
  </si>
  <si>
    <t>636193575195</t>
  </si>
  <si>
    <t>732996855424</t>
  </si>
  <si>
    <t>MOCK NECK 1/4 ZIP</t>
  </si>
  <si>
    <t>100064346MN</t>
  </si>
  <si>
    <t>732998336891</t>
  </si>
  <si>
    <t>PORTRAIT JOGGER</t>
  </si>
  <si>
    <t>22653569024</t>
  </si>
  <si>
    <t>SMARTDRI FLEECE GLOVE</t>
  </si>
  <si>
    <t>SHELL, LINING: POLYESTER</t>
  </si>
  <si>
    <t>732997521205</t>
  </si>
  <si>
    <t>DOUBLE KNIT HOODIE</t>
  </si>
  <si>
    <t>100064319MN</t>
  </si>
  <si>
    <t>732997889466</t>
  </si>
  <si>
    <t>ABSTRACT PRNT BOMBER</t>
  </si>
  <si>
    <t>100050490MN</t>
  </si>
  <si>
    <t>DYLAN GRAY</t>
  </si>
  <si>
    <t>ALFANI-MMG</t>
  </si>
  <si>
    <t>POLYESTER/RAYON/COTTON/SPANDEX</t>
  </si>
  <si>
    <t>732997267486</t>
  </si>
  <si>
    <t>MERINO SOLID HENLEY</t>
  </si>
  <si>
    <t>100062511MN</t>
  </si>
  <si>
    <t>WOOL/ACRYLIC</t>
  </si>
  <si>
    <t>732997840047</t>
  </si>
  <si>
    <t>TIPPED FULL ZIP</t>
  </si>
  <si>
    <t>100064336MN</t>
  </si>
  <si>
    <t>LT/PAS GRY</t>
  </si>
  <si>
    <t>732997840191</t>
  </si>
  <si>
    <t>CHEVRON BLCK FZIP</t>
  </si>
  <si>
    <t>100064340MN</t>
  </si>
  <si>
    <t>11333934979</t>
  </si>
  <si>
    <t>BACK BAY GLOBAL STRIPE H</t>
  </si>
  <si>
    <t>1CT0194</t>
  </si>
  <si>
    <t>TOMMY HILFIGER/VAN HEUSEN CLD WTHR</t>
  </si>
  <si>
    <t>11333936751</t>
  </si>
  <si>
    <t>SKI PATROL HERRINGBONE S</t>
  </si>
  <si>
    <t>1CT0225</t>
  </si>
  <si>
    <t>732998361947</t>
  </si>
  <si>
    <t>LS TODD SHIRT</t>
  </si>
  <si>
    <t>LYOCELL</t>
  </si>
  <si>
    <t>732998361961</t>
  </si>
  <si>
    <t>732996839738</t>
  </si>
  <si>
    <t>CLYDE SLMST JEAN BASIC</t>
  </si>
  <si>
    <t>COTTON/POLYESTER/SPANDEX</t>
  </si>
  <si>
    <t>22653608099</t>
  </si>
  <si>
    <t>SMRTDRI MICROFBR/ M</t>
  </si>
  <si>
    <t>672M1</t>
  </si>
  <si>
    <t>SHELL AND LINING: POLYESTER; CUFF: ACRYLIC</t>
  </si>
  <si>
    <t>22653608013</t>
  </si>
  <si>
    <t>FX NPA W/TSE PU S M</t>
  </si>
  <si>
    <t>665M2</t>
  </si>
  <si>
    <t>SHELL: POLYURETHANE; FOURCHETTES: NYLON/SPANDEX; LINING, INSULATION: POLYESTER</t>
  </si>
  <si>
    <t>22653608006</t>
  </si>
  <si>
    <t>22653608112</t>
  </si>
  <si>
    <t>22653607924</t>
  </si>
  <si>
    <t>FX NPA SLKHT KNIT M</t>
  </si>
  <si>
    <t>661M3</t>
  </si>
  <si>
    <t>SHELL FACE: POLYURETHANE; SHELL BACK, LINING: POLYESTER; FOURCHETTES: NYLON/SPANDEX; CUFF: ACRYLIC</t>
  </si>
  <si>
    <t>22653608105</t>
  </si>
  <si>
    <t>22653607962</t>
  </si>
  <si>
    <t>22653607955</t>
  </si>
  <si>
    <t>732994174152</t>
  </si>
  <si>
    <t>LUKE EDV SLM ST BASIC</t>
  </si>
  <si>
    <t>732997686621</t>
  </si>
  <si>
    <t>LS JONNY PLAID</t>
  </si>
  <si>
    <t>100074634MN</t>
  </si>
  <si>
    <t>100% TWILL COTTON</t>
  </si>
  <si>
    <t>192810701915</t>
  </si>
  <si>
    <t>UA BOX GRID SS</t>
  </si>
  <si>
    <t>192810701496</t>
  </si>
  <si>
    <t>22653541396</t>
  </si>
  <si>
    <t>ST SD MNS TECH ST M</t>
  </si>
  <si>
    <t>660M3</t>
  </si>
  <si>
    <t>SHELL BACK: POLYESTER/SPANDEX; PALM: POLYESTER/LYCRA® SPANDEX; LINING: POLYESTER</t>
  </si>
  <si>
    <t>22653541402</t>
  </si>
  <si>
    <t>22653541389</t>
  </si>
  <si>
    <t>732996851907</t>
  </si>
  <si>
    <t>SHAWL SWEATER</t>
  </si>
  <si>
    <t>100064349MN</t>
  </si>
  <si>
    <t>17149320944</t>
  </si>
  <si>
    <t>BROW 38MM ELEV W ROLLER</t>
  </si>
  <si>
    <t>11LV320024</t>
  </si>
  <si>
    <t>MENS BELTS</t>
  </si>
  <si>
    <t>LEVIS/RANDA ACCESSORIES</t>
  </si>
  <si>
    <t>LEATHER</t>
  </si>
  <si>
    <t>732997887462</t>
  </si>
  <si>
    <t>SS PNTD TROPICAL SHT</t>
  </si>
  <si>
    <t>100082738MN</t>
  </si>
  <si>
    <t>26217567969</t>
  </si>
  <si>
    <t>38MM RCE SHANKLESS REVER</t>
  </si>
  <si>
    <t>11LV320Z07</t>
  </si>
  <si>
    <t>LEATHER/BONDED LEATHER/POLYURETHANE</t>
  </si>
  <si>
    <t>732996354217</t>
  </si>
  <si>
    <t>LS KANE PLAID</t>
  </si>
  <si>
    <t>100060806MN</t>
  </si>
  <si>
    <t>732996788678</t>
  </si>
  <si>
    <t>SHOOK SHORT</t>
  </si>
  <si>
    <t>MED BEIGE</t>
  </si>
  <si>
    <t>29 REG</t>
  </si>
  <si>
    <t>732998035435</t>
  </si>
  <si>
    <t>V NECK NEP SWTR</t>
  </si>
  <si>
    <t>100081214MN</t>
  </si>
  <si>
    <t>732998287995</t>
  </si>
  <si>
    <t>LS MIGUEL II SHIRT</t>
  </si>
  <si>
    <t>COTTON/LYOCELL</t>
  </si>
  <si>
    <t>706255661590</t>
  </si>
  <si>
    <t>EDV JAMES PANT BASIC</t>
  </si>
  <si>
    <t>67603NA540</t>
  </si>
  <si>
    <t>POLYESTER/RAYON</t>
  </si>
  <si>
    <t>732997623961</t>
  </si>
  <si>
    <t>LS MULTI FISH PRINT</t>
  </si>
  <si>
    <t>100079608MN</t>
  </si>
  <si>
    <t>11333934146</t>
  </si>
  <si>
    <t>EMBROIDERED REVERSIBLE B</t>
  </si>
  <si>
    <t>1CK0116</t>
  </si>
  <si>
    <t>11333936966</t>
  </si>
  <si>
    <t>OVERSIZED BUFFALO CHECK</t>
  </si>
  <si>
    <t>1CT0557</t>
  </si>
  <si>
    <t>26217151892</t>
  </si>
  <si>
    <t>32MM BEVELED REV BEV</t>
  </si>
  <si>
    <t>11KC01X050</t>
  </si>
  <si>
    <t>44 REG</t>
  </si>
  <si>
    <t>REACTION/RANDA ACCESSORIES</t>
  </si>
  <si>
    <t>POLYURETHANE/BONDED LEATHER/POLYESTER</t>
  </si>
  <si>
    <t>26217568188</t>
  </si>
  <si>
    <t>38MM RCES1 WITH TAB</t>
  </si>
  <si>
    <t>11LV220Z01</t>
  </si>
  <si>
    <t>POLYURETHANE/LEATHER/BONDED LEATHER</t>
  </si>
  <si>
    <t>26217246772</t>
  </si>
  <si>
    <t>38MM TWO-TONE EDGING REV</t>
  </si>
  <si>
    <t>11LV320031</t>
  </si>
  <si>
    <t>BONDED LEATHER/POLYURETHANE</t>
  </si>
  <si>
    <t>26217444062</t>
  </si>
  <si>
    <t>38MM REVT CES1 W HE</t>
  </si>
  <si>
    <t>11LV320Z01</t>
  </si>
  <si>
    <t>26217568164</t>
  </si>
  <si>
    <t>732998030478</t>
  </si>
  <si>
    <t>GRID JQD LS PULLOVER</t>
  </si>
  <si>
    <t>100073564MN</t>
  </si>
  <si>
    <t>191603987307</t>
  </si>
  <si>
    <t>KIP</t>
  </si>
  <si>
    <t>3LGSK1527</t>
  </si>
  <si>
    <t>191603987284</t>
  </si>
  <si>
    <t>732998149682</t>
  </si>
  <si>
    <t>CHINO PANT</t>
  </si>
  <si>
    <t>100038665MN</t>
  </si>
  <si>
    <t>732997248539</t>
  </si>
  <si>
    <t>LS FOGGY MOUNT PRINT</t>
  </si>
  <si>
    <t>100064405MN</t>
  </si>
  <si>
    <t>194194012731</t>
  </si>
  <si>
    <t>SD MENS WTRPF SPO M</t>
  </si>
  <si>
    <t>659M3</t>
  </si>
  <si>
    <t>15712016133</t>
  </si>
  <si>
    <t>BRUNISHED BRAID</t>
  </si>
  <si>
    <t>1P86106</t>
  </si>
  <si>
    <t>PERRY ELLIS/SALANT CORPORATION</t>
  </si>
  <si>
    <t>BONDED LEATHER</t>
  </si>
  <si>
    <t>26217246840</t>
  </si>
  <si>
    <t>38MM CR WITH TAB</t>
  </si>
  <si>
    <t>11LV320030</t>
  </si>
  <si>
    <t>194194012755</t>
  </si>
  <si>
    <t>194194012748</t>
  </si>
  <si>
    <t>191603972815</t>
  </si>
  <si>
    <t>PINE MARCI SS POLO</t>
  </si>
  <si>
    <t>3LDSK12771</t>
  </si>
  <si>
    <t>732996023922</t>
  </si>
  <si>
    <t>ADIAN IKAT PRINT</t>
  </si>
  <si>
    <t>100062137MN</t>
  </si>
  <si>
    <t>ORANGE</t>
  </si>
  <si>
    <t>LINEN</t>
  </si>
  <si>
    <t>732998042440</t>
  </si>
  <si>
    <t>ARTENO DOBBY</t>
  </si>
  <si>
    <t>100082888MN</t>
  </si>
  <si>
    <t>732996930886</t>
  </si>
  <si>
    <t>LS BIRDSEYE QTR ZIP</t>
  </si>
  <si>
    <t>100066869MN</t>
  </si>
  <si>
    <t>11333725485</t>
  </si>
  <si>
    <t>BASIC SIDE VENT PU</t>
  </si>
  <si>
    <t>1CK0450</t>
  </si>
  <si>
    <t>POLYURETHANE; LINING: POLYESTER</t>
  </si>
  <si>
    <t>11333725492</t>
  </si>
  <si>
    <t>11333725508</t>
  </si>
  <si>
    <t>11333725447</t>
  </si>
  <si>
    <t>KNIT CUFF TRIPLE POINT</t>
  </si>
  <si>
    <t>1CK0449</t>
  </si>
  <si>
    <t>POLYURETHANE; LINING: POLYESTER; CUFF: ACRYLIC</t>
  </si>
  <si>
    <t>11333725423</t>
  </si>
  <si>
    <t>608381252959</t>
  </si>
  <si>
    <t>ANGLED CLRBLCK CREW</t>
  </si>
  <si>
    <t>18305SWT</t>
  </si>
  <si>
    <t>732995113020</t>
  </si>
  <si>
    <t>GEO TEXTURED PO</t>
  </si>
  <si>
    <t>100050474MN</t>
  </si>
  <si>
    <t>COTTON/NYLON/SPANDEX/OTHER FIBERS</t>
  </si>
  <si>
    <t>732995576320</t>
  </si>
  <si>
    <t>GEO TEXTURED PO 2</t>
  </si>
  <si>
    <t>100066403MN</t>
  </si>
  <si>
    <t>732995147919</t>
  </si>
  <si>
    <t>CHINO PANT STRETCH</t>
  </si>
  <si>
    <t>27511CRPNT</t>
  </si>
  <si>
    <t>840903051781</t>
  </si>
  <si>
    <t>CHUNKY KNIT SCARF</t>
  </si>
  <si>
    <t>MH-191</t>
  </si>
  <si>
    <t>NO SIZE</t>
  </si>
  <si>
    <t>STEVE MADDEN/DANIEL M FRIEDMAN</t>
  </si>
  <si>
    <t>POLYESTER/WOOL</t>
  </si>
  <si>
    <t>26217335162</t>
  </si>
  <si>
    <t>OVERSIZED TWILL FLAT TOP</t>
  </si>
  <si>
    <t>44LV030067</t>
  </si>
  <si>
    <t>LEVI BELTS/RANDA ACCESSORIES</t>
  </si>
  <si>
    <t>732994566278</t>
  </si>
  <si>
    <t>ABSTRACT BLOCKED CRW</t>
  </si>
  <si>
    <t>100019638MN</t>
  </si>
  <si>
    <t>726895469608</t>
  </si>
  <si>
    <t>SPR BEDFORD CORD</t>
  </si>
  <si>
    <t>100027580MN</t>
  </si>
  <si>
    <t>MMG-ALFANI</t>
  </si>
  <si>
    <t>COTTON/NYLON/SPANDEX</t>
  </si>
  <si>
    <t>726895469554</t>
  </si>
  <si>
    <t>732998112402</t>
  </si>
  <si>
    <t>LS HIDDEN PLAID</t>
  </si>
  <si>
    <t>100073989MN</t>
  </si>
  <si>
    <t>LT/PAS GRN</t>
  </si>
  <si>
    <t>732997796962</t>
  </si>
  <si>
    <t>SPS SOLID</t>
  </si>
  <si>
    <t>100027459MN</t>
  </si>
  <si>
    <t>DARK GREEN</t>
  </si>
  <si>
    <t>732997797006</t>
  </si>
  <si>
    <t>732997797013</t>
  </si>
  <si>
    <t>756500206083</t>
  </si>
  <si>
    <t>MANHATTAN SOLID</t>
  </si>
  <si>
    <t>MENS NECKWEAR</t>
  </si>
  <si>
    <t>TOMMY HILFIGER/T/PVH NECKWEAR</t>
  </si>
  <si>
    <t>756500202481</t>
  </si>
  <si>
    <t>LARGE TEXTURED CHECK</t>
  </si>
  <si>
    <t>WOOL/POLYESTER/SILK</t>
  </si>
  <si>
    <t>756500221468</t>
  </si>
  <si>
    <t>SCATTERED DASHES</t>
  </si>
  <si>
    <t>KX194488</t>
  </si>
  <si>
    <t>CALVIN KLEIN/PVH NECKWEAR INC</t>
  </si>
  <si>
    <t>SILK/METALLIC THREAD</t>
  </si>
  <si>
    <t>756500211544</t>
  </si>
  <si>
    <t>VINCENT PLAID</t>
  </si>
  <si>
    <t>WOVEN SILK/POLYESTER</t>
  </si>
  <si>
    <t>756500210165</t>
  </si>
  <si>
    <t>TEXTURED VILLAGE STRIPE</t>
  </si>
  <si>
    <t>ALL SILK</t>
  </si>
  <si>
    <t>756500202498</t>
  </si>
  <si>
    <t>756500211452</t>
  </si>
  <si>
    <t>756500209978</t>
  </si>
  <si>
    <t>BRIGHT PREPPY DOT</t>
  </si>
  <si>
    <t>YELLOW</t>
  </si>
  <si>
    <t>682875283001</t>
  </si>
  <si>
    <t>BOTANICAL</t>
  </si>
  <si>
    <t>SILK</t>
  </si>
  <si>
    <t>756500211537</t>
  </si>
  <si>
    <t>756500210424</t>
  </si>
  <si>
    <t>BRONX STRIPE</t>
  </si>
  <si>
    <t>682875404468</t>
  </si>
  <si>
    <t>TRICOLOR STRIPE</t>
  </si>
  <si>
    <t>756500218406</t>
  </si>
  <si>
    <t>ABSTRACT TEXTURED CH</t>
  </si>
  <si>
    <t>7K994641</t>
  </si>
  <si>
    <t>MICHAEL MICHAEL KORS/PVH NECKWEAR</t>
  </si>
  <si>
    <t>SILK/WOOL</t>
  </si>
  <si>
    <t>756500200869</t>
  </si>
  <si>
    <t>MONT DOT</t>
  </si>
  <si>
    <t>POLYESTER/SILK</t>
  </si>
  <si>
    <t>682875404475</t>
  </si>
  <si>
    <t>756500218932</t>
  </si>
  <si>
    <t>SHIMMER SOLID</t>
  </si>
  <si>
    <t>K7994601</t>
  </si>
  <si>
    <t>WOVEN SILK/POLYESTER/NYLON</t>
  </si>
  <si>
    <t>756500871083</t>
  </si>
  <si>
    <t>CORE NEAT II</t>
  </si>
  <si>
    <t>756500223486</t>
  </si>
  <si>
    <t>SPECKLED DOTS</t>
  </si>
  <si>
    <t>K1994487</t>
  </si>
  <si>
    <t>SILK/METALLIC</t>
  </si>
  <si>
    <t>756500206021</t>
  </si>
  <si>
    <t>756500111431</t>
  </si>
  <si>
    <t>MID-HERRINGBONE</t>
  </si>
  <si>
    <t>K7993309</t>
  </si>
  <si>
    <t>SILK/VISCOSE</t>
  </si>
  <si>
    <t>682875427474</t>
  </si>
  <si>
    <t>MINI BUTTERFLY</t>
  </si>
  <si>
    <t>PINK</t>
  </si>
  <si>
    <t>756500210301</t>
  </si>
  <si>
    <t>NEW TEXTURED STRIPE</t>
  </si>
  <si>
    <t>SILK/POLYESTER</t>
  </si>
  <si>
    <t>756500206045</t>
  </si>
  <si>
    <t>756500212008</t>
  </si>
  <si>
    <t>AARAN UNSOLID SOLID</t>
  </si>
  <si>
    <t>VISCOSE/SILK</t>
  </si>
  <si>
    <t>756500119086</t>
  </si>
  <si>
    <t>TEXTURED PLAID</t>
  </si>
  <si>
    <t>756500211995</t>
  </si>
  <si>
    <t>756500212824</t>
  </si>
  <si>
    <t>ANDY STRIPE</t>
  </si>
  <si>
    <t>29407389648</t>
  </si>
  <si>
    <t>TREE PICK UP</t>
  </si>
  <si>
    <t>756500222618</t>
  </si>
  <si>
    <t>METAL SOLID</t>
  </si>
  <si>
    <t>K7994615</t>
  </si>
  <si>
    <t>756500210257</t>
  </si>
  <si>
    <t>756500210189</t>
  </si>
  <si>
    <t>756500211315</t>
  </si>
  <si>
    <t>FLATIRON STRIPE</t>
  </si>
  <si>
    <t>756500211490</t>
  </si>
  <si>
    <t>756500220270</t>
  </si>
  <si>
    <t>WOVEN KNIT SOLID</t>
  </si>
  <si>
    <t>K7994404</t>
  </si>
  <si>
    <t>756500223608</t>
  </si>
  <si>
    <t>756500220256</t>
  </si>
  <si>
    <t>756500211971</t>
  </si>
  <si>
    <t>756500210158</t>
  </si>
  <si>
    <t>756500220294</t>
  </si>
  <si>
    <t>756500224896</t>
  </si>
  <si>
    <t>MICRO SQUARES</t>
  </si>
  <si>
    <t>K1594491</t>
  </si>
  <si>
    <t>756500214798</t>
  </si>
  <si>
    <t>DENIM SOLID</t>
  </si>
  <si>
    <t>K7994421</t>
  </si>
  <si>
    <t>WOVEN SILK/VISCOSE</t>
  </si>
  <si>
    <t>756500213999</t>
  </si>
  <si>
    <t>WIDE 3X STRIPE</t>
  </si>
  <si>
    <t>K7994417</t>
  </si>
  <si>
    <t>WOVEN VISCOSE/SILK</t>
  </si>
  <si>
    <t>756500220355</t>
  </si>
  <si>
    <t>WOVEN KNIT PLAID</t>
  </si>
  <si>
    <t>K7994405</t>
  </si>
  <si>
    <t>682875296094</t>
  </si>
  <si>
    <t>STAR MEDALLION 2</t>
  </si>
  <si>
    <t>K7983321</t>
  </si>
  <si>
    <t>756500220997</t>
  </si>
  <si>
    <t>METALLIC PINDOT</t>
  </si>
  <si>
    <t>K7994607</t>
  </si>
  <si>
    <t>WOVEN SILK/METALLIC</t>
  </si>
  <si>
    <t>756500219687</t>
  </si>
  <si>
    <t>SHIMMER SQUARES</t>
  </si>
  <si>
    <t>K7994454</t>
  </si>
  <si>
    <t>SILK/POLYESTER/NYLON</t>
  </si>
  <si>
    <t>682875865719</t>
  </si>
  <si>
    <t>VERMONT PLAID</t>
  </si>
  <si>
    <t>756500200517</t>
  </si>
  <si>
    <t>756500212695</t>
  </si>
  <si>
    <t>756500215443</t>
  </si>
  <si>
    <t>HOLLY PINDOT</t>
  </si>
  <si>
    <t>K7994430</t>
  </si>
  <si>
    <t>682875427351</t>
  </si>
  <si>
    <t>GLEN PLAID TREE</t>
  </si>
  <si>
    <t>682875874636</t>
  </si>
  <si>
    <t>STATELY PAISLEY</t>
  </si>
  <si>
    <t>7K991606</t>
  </si>
  <si>
    <t>756500220331</t>
  </si>
  <si>
    <t>756500218123</t>
  </si>
  <si>
    <t>INTRICATE OUTLINED PAISL</t>
  </si>
  <si>
    <t>7K994639</t>
  </si>
  <si>
    <t>756500209411</t>
  </si>
  <si>
    <t>SHADOWED GEO DIAMOND</t>
  </si>
  <si>
    <t>7K994317</t>
  </si>
  <si>
    <t>MED PURPLE</t>
  </si>
  <si>
    <t>756500214996</t>
  </si>
  <si>
    <t>2X LINEAR STRIPE</t>
  </si>
  <si>
    <t>K7994425</t>
  </si>
  <si>
    <t>732998121879</t>
  </si>
  <si>
    <t>OLYMPIA MED PRINT</t>
  </si>
  <si>
    <t>100082909MN</t>
  </si>
  <si>
    <t>888987457006</t>
  </si>
  <si>
    <t>KIMBALL MICRO TIE</t>
  </si>
  <si>
    <t>2PC9-7031</t>
  </si>
  <si>
    <t>PERRY ELLIS/BESPOKE FASHION LLC</t>
  </si>
  <si>
    <t>888987451912</t>
  </si>
  <si>
    <t>PAYSON STRIPE</t>
  </si>
  <si>
    <t>2PC9-7028</t>
  </si>
  <si>
    <t>888987481735</t>
  </si>
  <si>
    <t>DENNER PLAID</t>
  </si>
  <si>
    <t>2PC9-3046</t>
  </si>
  <si>
    <t>732996807768</t>
  </si>
  <si>
    <t>5PK CTN STR BRIEF</t>
  </si>
  <si>
    <t>100070855MN</t>
  </si>
  <si>
    <t>PB UNDERWEAR</t>
  </si>
  <si>
    <t>ALFANI-EDI/MASOOD TEXTILE</t>
  </si>
  <si>
    <t>888987277130</t>
  </si>
  <si>
    <t>OSLO SOLID</t>
  </si>
  <si>
    <t>2PC8-3090</t>
  </si>
  <si>
    <t>888987481773</t>
  </si>
  <si>
    <t>DUXBURY PLAID TIE</t>
  </si>
  <si>
    <t>2PC9-3058</t>
  </si>
  <si>
    <t>888987419615</t>
  </si>
  <si>
    <t>KALIN GRID</t>
  </si>
  <si>
    <t>2PC9-2005</t>
  </si>
  <si>
    <t>888987286187</t>
  </si>
  <si>
    <t>EDALE GRID</t>
  </si>
  <si>
    <t>2PC8-7013</t>
  </si>
  <si>
    <t>888987281090</t>
  </si>
  <si>
    <t>SAXON DOT</t>
  </si>
  <si>
    <t>2PC8-3008</t>
  </si>
  <si>
    <t>888987481766</t>
  </si>
  <si>
    <t>888987481490</t>
  </si>
  <si>
    <t>STARLITE NEAT</t>
  </si>
  <si>
    <t>2PC9-3051</t>
  </si>
  <si>
    <t>888987481407</t>
  </si>
  <si>
    <t>BURR GRID</t>
  </si>
  <si>
    <t>2PC9-3010</t>
  </si>
  <si>
    <t>888987452247</t>
  </si>
  <si>
    <t>RUTHVEN MICRO</t>
  </si>
  <si>
    <t>2PC9-7036</t>
  </si>
  <si>
    <t>888987376826</t>
  </si>
  <si>
    <t>BRODIE GRID</t>
  </si>
  <si>
    <t>2PC9-5003</t>
  </si>
  <si>
    <t>888987481414</t>
  </si>
  <si>
    <t>888987481421</t>
  </si>
  <si>
    <t>732997460627</t>
  </si>
  <si>
    <t>SKULL CAMO TEE</t>
  </si>
  <si>
    <t>636189741757</t>
  </si>
  <si>
    <t>BDR GORDON TARTAN</t>
  </si>
  <si>
    <t>100035211MN</t>
  </si>
  <si>
    <t>636189734643</t>
  </si>
  <si>
    <t>636189741948</t>
  </si>
  <si>
    <t>636189751305</t>
  </si>
  <si>
    <t>636189751442</t>
  </si>
  <si>
    <t>BDR SCOTT TARTAN</t>
  </si>
  <si>
    <t>100035213MN</t>
  </si>
  <si>
    <t>636189741771</t>
  </si>
  <si>
    <t>636189751565</t>
  </si>
  <si>
    <t>636189751541</t>
  </si>
  <si>
    <t>17.5X34-35</t>
  </si>
  <si>
    <t>636189751381</t>
  </si>
  <si>
    <t>636189751404</t>
  </si>
  <si>
    <t>636189741740</t>
  </si>
  <si>
    <t>636189751398</t>
  </si>
  <si>
    <t>732998122326</t>
  </si>
  <si>
    <t>MARCELLO PRINT</t>
  </si>
  <si>
    <t>100082911MN</t>
  </si>
  <si>
    <t>732997118047</t>
  </si>
  <si>
    <t>ARGYLE VNECK PIMA</t>
  </si>
  <si>
    <t>100070833MN</t>
  </si>
  <si>
    <t>PIMA COTTON</t>
  </si>
  <si>
    <t>640013504258</t>
  </si>
  <si>
    <t>YM SANDED CTN/NYLON</t>
  </si>
  <si>
    <t>OY1171564</t>
  </si>
  <si>
    <t>32 REG</t>
  </si>
  <si>
    <t>FRSTYLE CLASS</t>
  </si>
  <si>
    <t>OCEAN CURRENT/FAMMA GROUP INC</t>
  </si>
  <si>
    <t>COTTON/NYLON</t>
  </si>
  <si>
    <t>640013381972</t>
  </si>
  <si>
    <t>SILVER</t>
  </si>
  <si>
    <t>640013622365</t>
  </si>
  <si>
    <t>YM HUXLEY CHINO SHOR</t>
  </si>
  <si>
    <t>OY1191618FW</t>
  </si>
  <si>
    <t>36 REG</t>
  </si>
  <si>
    <t>732996941233</t>
  </si>
  <si>
    <t>LS HARLOW PLAID</t>
  </si>
  <si>
    <t>100069918MN</t>
  </si>
  <si>
    <t>888987451783</t>
  </si>
  <si>
    <t>VANDORN METALLIC SOLID</t>
  </si>
  <si>
    <t>2PC9-7084</t>
  </si>
  <si>
    <t>POLYESTER/METALLIC</t>
  </si>
  <si>
    <t>888987481346</t>
  </si>
  <si>
    <t>ALVAN SOLID</t>
  </si>
  <si>
    <t>2PC9-3035</t>
  </si>
  <si>
    <t>726895469561</t>
  </si>
  <si>
    <t>732997497111</t>
  </si>
  <si>
    <t>CR BULLDOG GIFT SET</t>
  </si>
  <si>
    <t>100077475MN</t>
  </si>
  <si>
    <t>PB SEASNL ACC</t>
  </si>
  <si>
    <t>732998018872</t>
  </si>
  <si>
    <t>LS TENNIS PLAYER</t>
  </si>
  <si>
    <t>100082749MN</t>
  </si>
  <si>
    <t>732998018865</t>
  </si>
  <si>
    <t>726895593792</t>
  </si>
  <si>
    <t>CORE FF SHORT</t>
  </si>
  <si>
    <t>GREG NORMAN</t>
  </si>
  <si>
    <t>GREG NORMAN 4T ELBA-EDI/RWI/CGS</t>
  </si>
  <si>
    <t>732996941486</t>
  </si>
  <si>
    <t>LS VASSAR PLAID</t>
  </si>
  <si>
    <t>100069922MN</t>
  </si>
  <si>
    <t>732996941745</t>
  </si>
  <si>
    <t>LS EXPLD BUFF CHECK</t>
  </si>
  <si>
    <t>100071046MN</t>
  </si>
  <si>
    <t>756500268098</t>
  </si>
  <si>
    <t>SOLID TEXTURED STRIP</t>
  </si>
  <si>
    <t>8TB83406</t>
  </si>
  <si>
    <t>TOMMY HILFIGER/B/PVH NECKWEAR</t>
  </si>
  <si>
    <t>29407760393</t>
  </si>
  <si>
    <t>TREE PICK UP PT BOW</t>
  </si>
  <si>
    <t>8PB74607</t>
  </si>
  <si>
    <t>SILK TWILL</t>
  </si>
  <si>
    <t>29407760997</t>
  </si>
  <si>
    <t>REINDEER PRINT PT BOW</t>
  </si>
  <si>
    <t>8PB74184</t>
  </si>
  <si>
    <t>732994320917</t>
  </si>
  <si>
    <t>COTTON/SPANDEX/NYLON</t>
  </si>
  <si>
    <t>732998459415</t>
  </si>
  <si>
    <t>GRAFFITI TEE</t>
  </si>
  <si>
    <t>810021395449</t>
  </si>
  <si>
    <t>WU TANG CLAN</t>
  </si>
  <si>
    <t>WTC90340</t>
  </si>
  <si>
    <t>FEA MERCHANDISE INC</t>
  </si>
  <si>
    <t>884411343723</t>
  </si>
  <si>
    <t>GRAIL</t>
  </si>
  <si>
    <t>3LVYM3747</t>
  </si>
  <si>
    <t>884411343716</t>
  </si>
  <si>
    <t>689439520589</t>
  </si>
  <si>
    <t>BDR PINPOINT SOLID</t>
  </si>
  <si>
    <t>100026840MN</t>
  </si>
  <si>
    <t>689439520572</t>
  </si>
  <si>
    <t>732998044444</t>
  </si>
  <si>
    <t>LS DBL CREW PULLOVER</t>
  </si>
  <si>
    <t>100066870MN</t>
  </si>
  <si>
    <t>884411347677</t>
  </si>
  <si>
    <t>FISCHER</t>
  </si>
  <si>
    <t>3LVYM3490LS</t>
  </si>
  <si>
    <t>884411347639</t>
  </si>
  <si>
    <t>884411347660</t>
  </si>
  <si>
    <t>726895602463</t>
  </si>
  <si>
    <t>SPS WHT PINPOINT SD BASIC</t>
  </si>
  <si>
    <t>726895601459</t>
  </si>
  <si>
    <t>BDS WH PINPOINT SLD BASIC</t>
  </si>
  <si>
    <t>726895602487</t>
  </si>
  <si>
    <t>726895601428</t>
  </si>
  <si>
    <t>732996941097</t>
  </si>
  <si>
    <t>LS HARLENDALE PLAID</t>
  </si>
  <si>
    <t>100040490MN</t>
  </si>
  <si>
    <t>732997850985</t>
  </si>
  <si>
    <t>SPR HOLIDAY GINGHAM</t>
  </si>
  <si>
    <t>100074770MN</t>
  </si>
  <si>
    <t>732997851029</t>
  </si>
  <si>
    <t>732997851104</t>
  </si>
  <si>
    <t>732997850978</t>
  </si>
  <si>
    <t>636189168639</t>
  </si>
  <si>
    <t>SP CLASSIC ENE ST R BASIC</t>
  </si>
  <si>
    <t>726895601831</t>
  </si>
  <si>
    <t>SPS CLASSIC ENE ST BASIC</t>
  </si>
  <si>
    <t>726895601879</t>
  </si>
  <si>
    <t>726895601909</t>
  </si>
  <si>
    <t>726895601848</t>
  </si>
  <si>
    <t>726895601855</t>
  </si>
  <si>
    <t>636189183151</t>
  </si>
  <si>
    <t>636189168615</t>
  </si>
  <si>
    <t>636189179642</t>
  </si>
  <si>
    <t>636189179635</t>
  </si>
  <si>
    <t>636189183083</t>
  </si>
  <si>
    <t>726895601862</t>
  </si>
  <si>
    <t>726895601893</t>
  </si>
  <si>
    <t>636189179659</t>
  </si>
  <si>
    <t>726895601886</t>
  </si>
  <si>
    <t>889498177339</t>
  </si>
  <si>
    <t>BLACK GEO SQUARE</t>
  </si>
  <si>
    <t>SOB9FDS102-001</t>
  </si>
  <si>
    <t>SOCIETY OF THREADS/A W CHANG</t>
  </si>
  <si>
    <t>884411397351</t>
  </si>
  <si>
    <t>LET IT BE</t>
  </si>
  <si>
    <t>2MBT0525</t>
  </si>
  <si>
    <t>JEM SPORTSWEAR/HYBRID PROMOTIONS</t>
  </si>
  <si>
    <t>732997175149</t>
  </si>
  <si>
    <t>NAVY/RED/GREEN FLEEC</t>
  </si>
  <si>
    <t>100075020MN</t>
  </si>
  <si>
    <t>PB MNS LOUNGE</t>
  </si>
  <si>
    <t>CLUBROOM-EDI/MASOOD TEXTILE</t>
  </si>
  <si>
    <t>POLYESTER/COTTON</t>
  </si>
  <si>
    <t>22653608174</t>
  </si>
  <si>
    <t>TECH STR W/MTX CU M</t>
  </si>
  <si>
    <t>673M1</t>
  </si>
  <si>
    <t>SHELL, LINING, INSULATION: POLYESTER</t>
  </si>
  <si>
    <t>22653608167</t>
  </si>
  <si>
    <t>22653608181</t>
  </si>
  <si>
    <t>732998110385</t>
  </si>
  <si>
    <t>SS BRISTON FLOWER PR</t>
  </si>
  <si>
    <t>100074006MN</t>
  </si>
  <si>
    <t>732998109686</t>
  </si>
  <si>
    <t>SS LEAPING LIZARDS</t>
  </si>
  <si>
    <t>100074004MN</t>
  </si>
  <si>
    <t>26217073811</t>
  </si>
  <si>
    <t>32 MM FEATHER EDGE D BASIC</t>
  </si>
  <si>
    <t>11AF08X020</t>
  </si>
  <si>
    <t>40 REG</t>
  </si>
  <si>
    <t>PBBELT/SLG/AC</t>
  </si>
  <si>
    <t>ALFANI/RANDA ACCESSORIES LEATHER GD</t>
  </si>
  <si>
    <t>732996522975</t>
  </si>
  <si>
    <t>MODERN 4 PACK</t>
  </si>
  <si>
    <t>100071028MN</t>
  </si>
  <si>
    <t>PB MNS HSRY</t>
  </si>
  <si>
    <t>BAR III-EDI/GOLD MEDAL HOSIERY</t>
  </si>
  <si>
    <t>COTTON/POLYESTER/NYLON/SPANDEX</t>
  </si>
  <si>
    <t>706256385730</t>
  </si>
  <si>
    <t>SOLID VEE HEATHER</t>
  </si>
  <si>
    <t>S5322IH436</t>
  </si>
  <si>
    <t>COTTON/NYLON/MODAL</t>
  </si>
  <si>
    <t>26217656656</t>
  </si>
  <si>
    <t>CUFF BEANIE W TONAL EMBR</t>
  </si>
  <si>
    <t>44LV040075</t>
  </si>
  <si>
    <t>SHELL: ACRYLIC; LINING: POLYESTER</t>
  </si>
  <si>
    <t>653411877732</t>
  </si>
  <si>
    <t>LS SLM BROADCLOTH</t>
  </si>
  <si>
    <t>32LG050</t>
  </si>
  <si>
    <t>KENNETH COLE REACT/DES/VAN HEUSEN</t>
  </si>
  <si>
    <t>653411887625</t>
  </si>
  <si>
    <t>REG SOLID</t>
  </si>
  <si>
    <t>32LG055</t>
  </si>
  <si>
    <t>732997815427</t>
  </si>
  <si>
    <t>CAMEO VELVET SOLID</t>
  </si>
  <si>
    <t>PB MENS NCKWR</t>
  </si>
  <si>
    <t>MMG-ALFANI/BESPOKE FASHION</t>
  </si>
  <si>
    <t>732996796147</t>
  </si>
  <si>
    <t>SOLID TEXTURE SET</t>
  </si>
  <si>
    <t>732997815472</t>
  </si>
  <si>
    <t>MADISON DOT</t>
  </si>
  <si>
    <t>BOW TIE: POLYESTER; POCKET SQUARE: POLYESTER</t>
  </si>
  <si>
    <t>706256385594</t>
  </si>
  <si>
    <t>SOLID VEE</t>
  </si>
  <si>
    <t>15322PH436</t>
  </si>
  <si>
    <t>732997169605</t>
  </si>
  <si>
    <t>15322PB436</t>
  </si>
  <si>
    <t>768856073189</t>
  </si>
  <si>
    <t>CLASSIC FRAAS PLAID</t>
  </si>
  <si>
    <t>OSFA</t>
  </si>
  <si>
    <t>CASHMINK/V FRAAS USA INC</t>
  </si>
  <si>
    <t>732997009390</t>
  </si>
  <si>
    <t>STRIPE CREW</t>
  </si>
  <si>
    <t>100062518MN</t>
  </si>
  <si>
    <t>732997817797</t>
  </si>
  <si>
    <t>COOPER PLAID</t>
  </si>
  <si>
    <t>BAR III-MMG</t>
  </si>
  <si>
    <t>732996799186</t>
  </si>
  <si>
    <t>CLARK FLORAL</t>
  </si>
  <si>
    <t>732997817698</t>
  </si>
  <si>
    <t>NELSON FLORAL</t>
  </si>
  <si>
    <t>732997817780</t>
  </si>
  <si>
    <t>732997814826</t>
  </si>
  <si>
    <t>CYPRESS GRID</t>
  </si>
  <si>
    <t>ALFANI/BESPOKE FASHION-TIES</t>
  </si>
  <si>
    <t>732997814468</t>
  </si>
  <si>
    <t>DEVON GEO</t>
  </si>
  <si>
    <t>732997813157</t>
  </si>
  <si>
    <t>TULIP NEAT</t>
  </si>
  <si>
    <t>CLUBROOM/BESPOKE FASHION-TIES</t>
  </si>
  <si>
    <t>732998284451</t>
  </si>
  <si>
    <t>BEACON STRIPE</t>
  </si>
  <si>
    <t>732997813171</t>
  </si>
  <si>
    <t>KELLEY GRID</t>
  </si>
  <si>
    <t>732997813164</t>
  </si>
  <si>
    <t>732998284420</t>
  </si>
  <si>
    <t>MANDEL GRID</t>
  </si>
  <si>
    <t>732997813133</t>
  </si>
  <si>
    <t>732994740104</t>
  </si>
  <si>
    <t>DAISY NEAT BASIC</t>
  </si>
  <si>
    <t>732997719053</t>
  </si>
  <si>
    <t>CELTIC DOT</t>
  </si>
  <si>
    <t>732997813577</t>
  </si>
  <si>
    <t>DUKE NEAT</t>
  </si>
  <si>
    <t>POLYESTER/VISCOSE/SILK</t>
  </si>
  <si>
    <t>732997814970</t>
  </si>
  <si>
    <t>DARKPURPLE</t>
  </si>
  <si>
    <t>732997719046</t>
  </si>
  <si>
    <t>732997814406</t>
  </si>
  <si>
    <t>ECHO SOLID</t>
  </si>
  <si>
    <t>732996792453</t>
  </si>
  <si>
    <t>MAXIMUS SOLID</t>
  </si>
  <si>
    <t>732997261545</t>
  </si>
  <si>
    <t>CAREY DOT</t>
  </si>
  <si>
    <t>732994740562</t>
  </si>
  <si>
    <t>CAREY DOT BASIC</t>
  </si>
  <si>
    <t>732995982862</t>
  </si>
  <si>
    <t>KIMBLE NEAT</t>
  </si>
  <si>
    <t>732997814987</t>
  </si>
  <si>
    <t>732996939094</t>
  </si>
  <si>
    <t>TRUMBULL STRIPE</t>
  </si>
  <si>
    <t>732995167382</t>
  </si>
  <si>
    <t>PERRONE MINI BASIC</t>
  </si>
  <si>
    <t>732996801360</t>
  </si>
  <si>
    <t>732996801261</t>
  </si>
  <si>
    <t>STERLING NEAT</t>
  </si>
  <si>
    <t>732997813119</t>
  </si>
  <si>
    <t>EVERGREEN NEAT</t>
  </si>
  <si>
    <t>732995661781</t>
  </si>
  <si>
    <t>INWOOD GRID</t>
  </si>
  <si>
    <t>732997813294</t>
  </si>
  <si>
    <t>732995850734</t>
  </si>
  <si>
    <t>POMONA DOT BASIC</t>
  </si>
  <si>
    <t>732997813393</t>
  </si>
  <si>
    <t>ROVER STRIPE</t>
  </si>
  <si>
    <t>732995167498</t>
  </si>
  <si>
    <t>SUSSEX PANE</t>
  </si>
  <si>
    <t>732997813300</t>
  </si>
  <si>
    <t>732995167528</t>
  </si>
  <si>
    <t>SUSSEX PANE BASIC</t>
  </si>
  <si>
    <t>732997611425</t>
  </si>
  <si>
    <t>SOLID TEXTURE</t>
  </si>
  <si>
    <t>DARKYELLOW</t>
  </si>
  <si>
    <t>732996801377</t>
  </si>
  <si>
    <t>732997814932</t>
  </si>
  <si>
    <t>732997814741</t>
  </si>
  <si>
    <t>BUTLER MINI</t>
  </si>
  <si>
    <t>732996801278</t>
  </si>
  <si>
    <t>732997813324</t>
  </si>
  <si>
    <t>732995982800</t>
  </si>
  <si>
    <t>PRESTON GRID</t>
  </si>
  <si>
    <t>POLYESTER/SILK/COTTON</t>
  </si>
  <si>
    <t>884411586120</t>
  </si>
  <si>
    <t>BIG CHILLIN SNOOPY</t>
  </si>
  <si>
    <t>2PNT2238</t>
  </si>
  <si>
    <t>884411527505</t>
  </si>
  <si>
    <t>REPTAR AND KANJI</t>
  </si>
  <si>
    <t>2NIK0925</t>
  </si>
  <si>
    <t>732994477086</t>
  </si>
  <si>
    <t>LS BUFFALO CHECK</t>
  </si>
  <si>
    <t>100040498MN</t>
  </si>
  <si>
    <t>766360728892</t>
  </si>
  <si>
    <t>5IRON POLO SOLID</t>
  </si>
  <si>
    <t>42200BRTWT</t>
  </si>
  <si>
    <t>732997521861</t>
  </si>
  <si>
    <t>COVERSTITCH THERMAL</t>
  </si>
  <si>
    <t>100064318MN</t>
  </si>
  <si>
    <t>HEATHERED COLORS: COTTON/POLYESTER/SPANDEX; SOLID COLORS: 100% COTTON</t>
  </si>
  <si>
    <t>732997522165</t>
  </si>
  <si>
    <t>732997331248</t>
  </si>
  <si>
    <t>SOLID TEXTURED CREW</t>
  </si>
  <si>
    <t>100062517MN</t>
  </si>
  <si>
    <t>26217672083</t>
  </si>
  <si>
    <t>VENETIAN FAUX SUEDE</t>
  </si>
  <si>
    <t>71WV670015</t>
  </si>
  <si>
    <t>M</t>
  </si>
  <si>
    <t>32 HEAT/RANDA ACCESSORIES</t>
  </si>
  <si>
    <t>MAN-MADE UPPER, SOLE</t>
  </si>
  <si>
    <t>26217672090</t>
  </si>
  <si>
    <t>L</t>
  </si>
  <si>
    <t>26217672199</t>
  </si>
  <si>
    <t>71WV670017</t>
  </si>
  <si>
    <t>732997104996</t>
  </si>
  <si>
    <t>PTR SOLID</t>
  </si>
  <si>
    <t>100076681MN</t>
  </si>
  <si>
    <t>732997105016</t>
  </si>
  <si>
    <t>732997104880</t>
  </si>
  <si>
    <t>732997104972</t>
  </si>
  <si>
    <t>732997104958</t>
  </si>
  <si>
    <t>732997104903</t>
  </si>
  <si>
    <t>732997104989</t>
  </si>
  <si>
    <t>843113129561</t>
  </si>
  <si>
    <t>BIGGIE CLOSE-UP HANDS</t>
  </si>
  <si>
    <t>BAND SPECIFIC/MERCH TRAFFIC LLC</t>
  </si>
  <si>
    <t>98593543295</t>
  </si>
  <si>
    <t>BLACKWATCH MEDIUM PLAID</t>
  </si>
  <si>
    <t>S112222</t>
  </si>
  <si>
    <t>MENS SLEEPWR</t>
  </si>
  <si>
    <t>PERRY ELLIS MENSWEAR INC</t>
  </si>
  <si>
    <t>98593543318</t>
  </si>
  <si>
    <t>888987457877</t>
  </si>
  <si>
    <t>CLEAR FANNY</t>
  </si>
  <si>
    <t>6BF9-3001</t>
  </si>
  <si>
    <t>BESPOKE FASHION LLC</t>
  </si>
  <si>
    <t>PVC; STRAP: POLYESTER</t>
  </si>
  <si>
    <t>58665002204</t>
  </si>
  <si>
    <t>4 PK HOLIDAY CASUAL CREW</t>
  </si>
  <si>
    <t>ATH252</t>
  </si>
  <si>
    <t>MENS HOSIERY</t>
  </si>
  <si>
    <t>TOMMY HILFIGER/PVH LEGWEAR LLC</t>
  </si>
  <si>
    <t>COMBED COTTON/POLYESTER/NYLON/SPANDEX</t>
  </si>
  <si>
    <t>731351297916</t>
  </si>
  <si>
    <t>MENS MOCCASIN SLIPPER</t>
  </si>
  <si>
    <t>SLGT37972</t>
  </si>
  <si>
    <t>GOLDTOE/GINA GROUP LLC</t>
  </si>
  <si>
    <t>MANMADE UPPER, SOLE</t>
  </si>
  <si>
    <t>731351801540</t>
  </si>
  <si>
    <t>MENS CARTER MOCCASIN</t>
  </si>
  <si>
    <t>731351802370</t>
  </si>
  <si>
    <t>MENS SLIPPER</t>
  </si>
  <si>
    <t>SLGT38033</t>
  </si>
  <si>
    <t>731351297961</t>
  </si>
  <si>
    <t>S</t>
  </si>
  <si>
    <t>731351297923</t>
  </si>
  <si>
    <t>883096877028</t>
  </si>
  <si>
    <t>HOLIDAY HOUND 4 PK</t>
  </si>
  <si>
    <t>3663F</t>
  </si>
  <si>
    <t>GOLD TOE/GILDAN BRANDED APPAREL SRL</t>
  </si>
  <si>
    <t>POLYESTER/COTTON/SPANDEX/NYLON</t>
  </si>
  <si>
    <t>883096877011</t>
  </si>
  <si>
    <t>SANTA GOLFER 4 PK</t>
  </si>
  <si>
    <t>3662F</t>
  </si>
  <si>
    <t>732997011140</t>
  </si>
  <si>
    <t>COTTON SWEATER VEST</t>
  </si>
  <si>
    <t>100062525MN</t>
  </si>
  <si>
    <t>732997747117</t>
  </si>
  <si>
    <t>WINTER STRIPE TEE</t>
  </si>
  <si>
    <t>100079813MN</t>
  </si>
  <si>
    <t>AMERICAN RAG-EDI/PACIFICTXTLS&amp;SOURC</t>
  </si>
  <si>
    <t>732997868768</t>
  </si>
  <si>
    <t>EXPLORER STRIPE TEE</t>
  </si>
  <si>
    <t>100075529MN</t>
  </si>
  <si>
    <t>732997127858</t>
  </si>
  <si>
    <t>THERMAL DBR CREW SLD</t>
  </si>
  <si>
    <t>100064790MN</t>
  </si>
  <si>
    <t>732997128077</t>
  </si>
  <si>
    <t>THERMAL DBR CREW OPD</t>
  </si>
  <si>
    <t>100064791MN</t>
  </si>
  <si>
    <t>192166444276</t>
  </si>
  <si>
    <t>BASELAYER LEGGING PLUS</t>
  </si>
  <si>
    <t>TMF98418ME</t>
  </si>
  <si>
    <t>XLRGMEDREG</t>
  </si>
  <si>
    <t>32 DEGREES HEAT/WEATHERPROOF-CONSGN</t>
  </si>
  <si>
    <t>POLYESTER/ACRYLIC/SPANDEX</t>
  </si>
  <si>
    <t>192166357422</t>
  </si>
  <si>
    <t>BASELAYER LS CREW PLUS (</t>
  </si>
  <si>
    <t>TMF98402ME</t>
  </si>
  <si>
    <t>192166444269</t>
  </si>
  <si>
    <t>192166444214</t>
  </si>
  <si>
    <t>192166357361</t>
  </si>
  <si>
    <t>192166444221</t>
  </si>
  <si>
    <t>192166444238</t>
  </si>
  <si>
    <t>192166357903</t>
  </si>
  <si>
    <t>BASELAYER L/S VNECK TEE</t>
  </si>
  <si>
    <t>TMF98466ME</t>
  </si>
  <si>
    <t>MED MEDREG</t>
  </si>
  <si>
    <t>192166444283</t>
  </si>
  <si>
    <t>192166357453</t>
  </si>
  <si>
    <t>732995135244</t>
  </si>
  <si>
    <t>SOLID TWILL PSQ BASIC</t>
  </si>
  <si>
    <t>732997816301</t>
  </si>
  <si>
    <t>WICKER GEO</t>
  </si>
  <si>
    <t>732996796703</t>
  </si>
  <si>
    <t>SOLID TWILL PSQ</t>
  </si>
  <si>
    <t>732996796680</t>
  </si>
  <si>
    <t>732997019214</t>
  </si>
  <si>
    <t>B&amp;T THERMAL PANT</t>
  </si>
  <si>
    <t>100071453BT</t>
  </si>
  <si>
    <t>10 1/2</t>
  </si>
  <si>
    <t>732997019245</t>
  </si>
  <si>
    <t>10-13</t>
  </si>
  <si>
    <t>732997019252</t>
  </si>
  <si>
    <t>732997019115</t>
  </si>
  <si>
    <t>B&amp;T THERMAL L/S CREW</t>
  </si>
  <si>
    <t>100071445BT</t>
  </si>
  <si>
    <t>58665002426</t>
  </si>
  <si>
    <t>2 PK RANDOM FEED LOGO CR</t>
  </si>
  <si>
    <t>ATH269</t>
  </si>
  <si>
    <t>COTTON/RAYON/POLYESTER/NYLON/SPANDEX</t>
  </si>
  <si>
    <t>58665002419</t>
  </si>
  <si>
    <t>58665944061</t>
  </si>
  <si>
    <t>2 PK BROKEN STRIPE CREW</t>
  </si>
  <si>
    <t>ATG265</t>
  </si>
  <si>
    <t>COMBED COTTON/RAYON/POLYESTER/NYLON/SPANDEX</t>
  </si>
  <si>
    <t>58665944047</t>
  </si>
  <si>
    <t>2 PK BROKEN STRIPE C</t>
  </si>
  <si>
    <t>716106841590</t>
  </si>
  <si>
    <t>BLAC M CC SL STRIPE 3-PAC</t>
  </si>
  <si>
    <t>5144581A</t>
  </si>
  <si>
    <t>ADIDAS-AGRON INC</t>
  </si>
  <si>
    <t>BODY, MESH: POLYESTER/COTTON/SPANDEX</t>
  </si>
  <si>
    <t>732997722015</t>
  </si>
  <si>
    <t>OUTDOOR EXPLORER TEE</t>
  </si>
  <si>
    <t>100082638MN</t>
  </si>
  <si>
    <t>732997443866</t>
  </si>
  <si>
    <t>SPACE DYE SCARF</t>
  </si>
  <si>
    <t>100074779MN</t>
  </si>
  <si>
    <t>47852234337</t>
  </si>
  <si>
    <t>1PR CHRISTMAS COOKIE</t>
  </si>
  <si>
    <t>HMH00017</t>
  </si>
  <si>
    <t>HOT SOX CO</t>
  </si>
  <si>
    <t>732996796666</t>
  </si>
  <si>
    <t>732997444177</t>
  </si>
  <si>
    <t>PRINTED BLANKET SCAR</t>
  </si>
  <si>
    <t>100077199MN</t>
  </si>
  <si>
    <t>732997017982</t>
  </si>
  <si>
    <t>THERMAL PANT BASIC</t>
  </si>
  <si>
    <t>100071119MN</t>
  </si>
  <si>
    <t>732996848846</t>
  </si>
  <si>
    <t>THERMAL L/S CREW BASIC</t>
  </si>
  <si>
    <t>100071118MN</t>
  </si>
  <si>
    <t>732997017890</t>
  </si>
  <si>
    <t>732997017883</t>
  </si>
  <si>
    <t>732996848907</t>
  </si>
  <si>
    <t>732996848891</t>
  </si>
  <si>
    <t>732996848754</t>
  </si>
  <si>
    <t>732997017906</t>
  </si>
  <si>
    <t>732996848761</t>
  </si>
  <si>
    <t>732996848921</t>
  </si>
  <si>
    <t>732997017876</t>
  </si>
  <si>
    <t>732996848747</t>
  </si>
  <si>
    <t>732996848778</t>
  </si>
  <si>
    <t>732996848860</t>
  </si>
  <si>
    <t>732997018002</t>
  </si>
  <si>
    <t>732996848877</t>
  </si>
  <si>
    <t>732996848853</t>
  </si>
  <si>
    <t>732997017975</t>
  </si>
  <si>
    <t>732997017999</t>
  </si>
  <si>
    <t>732997444108</t>
  </si>
  <si>
    <t>SOLID BEANIE</t>
  </si>
  <si>
    <t>100074778MN</t>
  </si>
  <si>
    <t>732997444085</t>
  </si>
  <si>
    <t>SPACE DYE GLOVES</t>
  </si>
  <si>
    <t>100074774MN</t>
  </si>
  <si>
    <t>ACRYLIC/POLYESTER/SPANDEX/METAL</t>
  </si>
  <si>
    <t>732997444078</t>
  </si>
  <si>
    <t>732996812663</t>
  </si>
  <si>
    <t>SS CREW FASHION</t>
  </si>
  <si>
    <t>100072225MN</t>
  </si>
  <si>
    <t>732996623832</t>
  </si>
  <si>
    <t>EMBROIDERED FLORAL</t>
  </si>
  <si>
    <t>100070998MN</t>
  </si>
  <si>
    <t>732996623856</t>
  </si>
  <si>
    <t>PEEK A BOO STRIPE</t>
  </si>
  <si>
    <t>100071017MN</t>
  </si>
  <si>
    <t>COTTON/POLYESTER/SPANDEX/OTHER</t>
  </si>
  <si>
    <t>732996522876</t>
  </si>
  <si>
    <t>CHAMPAGNE FLUTES</t>
  </si>
  <si>
    <t>100028490MN</t>
  </si>
  <si>
    <t>608381379823</t>
  </si>
  <si>
    <t>MINI DOT</t>
  </si>
  <si>
    <t>100048015MN</t>
  </si>
  <si>
    <t>732996985985</t>
  </si>
  <si>
    <t>PLACED PAISELY</t>
  </si>
  <si>
    <t>100071014MN</t>
  </si>
  <si>
    <t>COTTON/POLYESTER/NYLON/SPANDEX (EXCLUSIVE OF ELASTICS)</t>
  </si>
  <si>
    <t>732996985954</t>
  </si>
  <si>
    <t>BEER MUG PINSTRIPE</t>
  </si>
  <si>
    <t>100070992MN</t>
  </si>
  <si>
    <t>732996541372</t>
  </si>
  <si>
    <t>SIMPLE ARGYLE</t>
  </si>
  <si>
    <t>100071063MN</t>
  </si>
  <si>
    <t>ALFANI-EDI/GOLD MEDAL HOSIERY</t>
  </si>
  <si>
    <t>RAYON/ACRYLIC/NYLON/SPANDEX</t>
  </si>
  <si>
    <t>732996623764</t>
  </si>
  <si>
    <t>ABSTRACT GEOMETRY</t>
  </si>
  <si>
    <t>100071068MN</t>
  </si>
  <si>
    <t>RAYON/NYLON/ACRYLIC/SPANDEX</t>
  </si>
  <si>
    <t>732996623771</t>
  </si>
  <si>
    <t>WOLVES</t>
  </si>
  <si>
    <t>100071450MN</t>
  </si>
  <si>
    <t>RAYON/NYLON/SPANDEX</t>
  </si>
  <si>
    <t>732996541389</t>
  </si>
  <si>
    <t>732996623672</t>
  </si>
  <si>
    <t>STRIPED DIAMONDS</t>
  </si>
  <si>
    <t>100051129MN</t>
  </si>
  <si>
    <t>LT/PASBLUE</t>
  </si>
  <si>
    <t>732996541358</t>
  </si>
  <si>
    <t>MULTI BOLD STRIPE</t>
  </si>
  <si>
    <t>100028317MN</t>
  </si>
  <si>
    <t>732996541396</t>
  </si>
  <si>
    <t>CAMO PANDA</t>
  </si>
  <si>
    <t>100071448MN</t>
  </si>
  <si>
    <t>NYLON/RAYON/ACRYLIC/SPANDEX</t>
  </si>
  <si>
    <t>732996623702</t>
  </si>
  <si>
    <t>SPECKLED SOLID</t>
  </si>
  <si>
    <t>100071057MN</t>
  </si>
  <si>
    <t>RAYON/ACRYLIC/SPANDEX/OTHER</t>
  </si>
  <si>
    <t>732996541341</t>
  </si>
  <si>
    <t>732996541334</t>
  </si>
  <si>
    <t>732996541488</t>
  </si>
  <si>
    <t>HOLIDAY TREES</t>
  </si>
  <si>
    <t>100071449MN</t>
  </si>
  <si>
    <t>732996541365</t>
  </si>
  <si>
    <t>732996541464</t>
  </si>
  <si>
    <t>MISTLETOE</t>
  </si>
  <si>
    <t>100071446MN</t>
  </si>
  <si>
    <t>ACRYLIC/RAYON/NYLON/SPANDEX</t>
  </si>
  <si>
    <t>732996541402</t>
  </si>
  <si>
    <t>CHRISTMAS ORNAMENTS</t>
  </si>
  <si>
    <t>100071060MN</t>
  </si>
  <si>
    <t>732996623689</t>
  </si>
  <si>
    <t>732996623696</t>
  </si>
  <si>
    <t>LT BEIGE</t>
  </si>
  <si>
    <t>732996807614</t>
  </si>
  <si>
    <t>PIXEL BOXES</t>
  </si>
  <si>
    <t>100071061MN</t>
  </si>
  <si>
    <t>NYLON/RAYON/ACRYLIC/SPANDEX/OTHER</t>
  </si>
  <si>
    <t>81091584167</t>
  </si>
  <si>
    <t>MOSAIC BOX BASIC</t>
  </si>
  <si>
    <t>191100403676</t>
  </si>
  <si>
    <t>ZNL GRAY PLAID SPORTCOAT</t>
  </si>
  <si>
    <t>124016-G7001</t>
  </si>
  <si>
    <t>ZANELLA/Z OPERATING LLC</t>
  </si>
  <si>
    <t>52175197634</t>
  </si>
  <si>
    <t>541 ATHLETIC TAPER C</t>
  </si>
  <si>
    <t>191603967804</t>
  </si>
  <si>
    <t>NOBLES CANVAS L/S WO</t>
  </si>
  <si>
    <t>3LGLW1619</t>
  </si>
  <si>
    <t>191603918134</t>
  </si>
  <si>
    <t>HOBEL</t>
  </si>
  <si>
    <t>3LGLW1569</t>
  </si>
  <si>
    <t>732997817858</t>
  </si>
  <si>
    <t>CLOVE PLAID</t>
  </si>
  <si>
    <t>885400064834</t>
  </si>
  <si>
    <t>DOUBLE KNIT TECH-LSPOHOO</t>
  </si>
  <si>
    <t>887096137953</t>
  </si>
  <si>
    <t>PLAIN BLACK NONE SB</t>
  </si>
  <si>
    <t>MIBUO7OUX000</t>
  </si>
  <si>
    <t>48 T/L39.5</t>
  </si>
  <si>
    <t>TAILOR COATS</t>
  </si>
  <si>
    <t>SHELL: WOOL/POLYESTER; LINING: POLYESTER</t>
  </si>
  <si>
    <t>193315618852</t>
  </si>
  <si>
    <t>121 SLIM STRAIGHT</t>
  </si>
  <si>
    <t>7M13002</t>
  </si>
  <si>
    <t>FSTY DENM MNS</t>
  </si>
  <si>
    <t>LUCKY BRAND DUNGAREES LLC</t>
  </si>
  <si>
    <t>94% COTTON, 4% ELASOMUTIESTER, 2% ELASTANE</t>
  </si>
  <si>
    <t>885400647747</t>
  </si>
  <si>
    <t>193327087509</t>
  </si>
  <si>
    <t>LS ROY CAMO NEON TAPE HO</t>
  </si>
  <si>
    <t>M93Q56R44Q4</t>
  </si>
  <si>
    <t>8718719275634</t>
  </si>
  <si>
    <t>FLAMINGUY</t>
  </si>
  <si>
    <t>OSUI-0047</t>
  </si>
  <si>
    <t>46 R/M37.5</t>
  </si>
  <si>
    <t>OPEN PR SUITS</t>
  </si>
  <si>
    <t>OPPOSUITS USA INC</t>
  </si>
  <si>
    <t>883498645713</t>
  </si>
  <si>
    <t>GREY/BLUE PLAID</t>
  </si>
  <si>
    <t>KELS1K2Y0627</t>
  </si>
  <si>
    <t>38 R/M37.5</t>
  </si>
  <si>
    <t>MENS SPORTCOA</t>
  </si>
  <si>
    <t>MICHAEL MICHAEL KORS/PEERLESS CLOTH</t>
  </si>
  <si>
    <t>SHELL: POLYESTER/RAYON; LINING: POLYESTER</t>
  </si>
  <si>
    <t>741065232660</t>
  </si>
  <si>
    <t>TEXTURED HOODIE FULL ZIP</t>
  </si>
  <si>
    <t>40T7059</t>
  </si>
  <si>
    <t>741065232677</t>
  </si>
  <si>
    <t>749862621403</t>
  </si>
  <si>
    <t>SS ANIMATED KC SOFT TOUC</t>
  </si>
  <si>
    <t>732998463757</t>
  </si>
  <si>
    <t>NEIL SLIM BLAZER</t>
  </si>
  <si>
    <t>732998463764</t>
  </si>
  <si>
    <t>755633197732</t>
  </si>
  <si>
    <t>DUNCAN DEUX OVER CREW</t>
  </si>
  <si>
    <t>T223113</t>
  </si>
  <si>
    <t>TOMMY BAHAMA</t>
  </si>
  <si>
    <t>TOMMY BAHAMA GROUP INC</t>
  </si>
  <si>
    <t>755633198043</t>
  </si>
  <si>
    <t>749194645276</t>
  </si>
  <si>
    <t>40Q7015</t>
  </si>
  <si>
    <t>SHELL: MERINO WOOL/ACRYLIC; TRIM: ACRYLIC/WOOL/NYLON/ELASTANE</t>
  </si>
  <si>
    <t>749194643821</t>
  </si>
  <si>
    <t>MERINO FULL ZIP SWEATER</t>
  </si>
  <si>
    <t>40Q7003</t>
  </si>
  <si>
    <t>ESPRESSO</t>
  </si>
  <si>
    <t>BODY: 100% WOOL; TRIM: WOOL/NYLON/ELASTANE</t>
  </si>
  <si>
    <t>192536957825</t>
  </si>
  <si>
    <t>STRETCH SLIM FIT 5 POCKE</t>
  </si>
  <si>
    <t>HH9561</t>
  </si>
  <si>
    <t>LCOST/PREMDNM</t>
  </si>
  <si>
    <t>LACOSTE USA</t>
  </si>
  <si>
    <t>SHELL: COTTON/ELASTANE; POCKET LINING: COTTON/POLYESTER</t>
  </si>
  <si>
    <t>636189671351</t>
  </si>
  <si>
    <t>SEQUIN SLIM BLAZER</t>
  </si>
  <si>
    <t>7N705540</t>
  </si>
  <si>
    <t>636189671344</t>
  </si>
  <si>
    <t>636189671412</t>
  </si>
  <si>
    <t>883498590587</t>
  </si>
  <si>
    <t>LAUREN SOLID BLUE</t>
  </si>
  <si>
    <t>EDDWPRR40006</t>
  </si>
  <si>
    <t>BETTER SUITS</t>
  </si>
  <si>
    <t>192536813763</t>
  </si>
  <si>
    <t>SHORT SLEEVED CASUAL</t>
  </si>
  <si>
    <t>CH5810</t>
  </si>
  <si>
    <t>42 REG</t>
  </si>
  <si>
    <t>700691190713</t>
  </si>
  <si>
    <t>LIGH 181 RLAXED STRT -SBASIC</t>
  </si>
  <si>
    <t>7M11625</t>
  </si>
  <si>
    <t>732997642719</t>
  </si>
  <si>
    <t>LOGAN PLAID TOPCOAT</t>
  </si>
  <si>
    <t>SHELL: POLYESTER/ACRYLIC/WOOL/RAYON/NYLON; LINING: POLYESTER</t>
  </si>
  <si>
    <t>732998289616</t>
  </si>
  <si>
    <t>VELVET TIE DYE BMBR</t>
  </si>
  <si>
    <t>749194643029</t>
  </si>
  <si>
    <t>MERINO CREW NECK SWEATER</t>
  </si>
  <si>
    <t>40Q7001</t>
  </si>
  <si>
    <t>BODY: WOOL; TRIM: WOOL/NYLON/ELASTANE</t>
  </si>
  <si>
    <t>192810629516</t>
  </si>
  <si>
    <t>PLAYOFF POLO</t>
  </si>
  <si>
    <t>889319233473</t>
  </si>
  <si>
    <t>8763297477</t>
  </si>
  <si>
    <t>CUSTOM FIT CHINO PANT</t>
  </si>
  <si>
    <t>78E5347</t>
  </si>
  <si>
    <t>8763297743</t>
  </si>
  <si>
    <t>631712451363</t>
  </si>
  <si>
    <t>LS REG STCH WOOL CHK</t>
  </si>
  <si>
    <t>35S1704</t>
  </si>
  <si>
    <t>COTTON/WOOL</t>
  </si>
  <si>
    <t>631712449346</t>
  </si>
  <si>
    <t>LS NI SLIM STRETCH CHK</t>
  </si>
  <si>
    <t>35S1674</t>
  </si>
  <si>
    <t>11333731592</t>
  </si>
  <si>
    <t>35S1681</t>
  </si>
  <si>
    <t>631712449445</t>
  </si>
  <si>
    <t>732998429258</t>
  </si>
  <si>
    <t>GRAFITTI ORGNZ BMBR</t>
  </si>
  <si>
    <t>883498806428</t>
  </si>
  <si>
    <t>PANT</t>
  </si>
  <si>
    <t>VHERPW8Z0062</t>
  </si>
  <si>
    <t>TALLIA ORANGE/PEERLESS CLOTHING</t>
  </si>
  <si>
    <t>193315425207</t>
  </si>
  <si>
    <t>SATURDAY STRETCH ALAMEDA</t>
  </si>
  <si>
    <t>7M43643</t>
  </si>
  <si>
    <t>193315425191</t>
  </si>
  <si>
    <t>193315063270</t>
  </si>
  <si>
    <t>SS 1 PKT BALLONA</t>
  </si>
  <si>
    <t>7M43450</t>
  </si>
  <si>
    <t>193315425276</t>
  </si>
  <si>
    <t>CLEAN 2 PKT WORKWEAR</t>
  </si>
  <si>
    <t>7M43681</t>
  </si>
  <si>
    <t>840066703800</t>
  </si>
  <si>
    <t>BLACK MOTO JEAN</t>
  </si>
  <si>
    <t>HA-WB-878</t>
  </si>
  <si>
    <t>ST WEAR MENS</t>
  </si>
  <si>
    <t>HERITAGE/UNITED COTE/COTE DU NUITT</t>
  </si>
  <si>
    <t>192412851698</t>
  </si>
  <si>
    <t>FORIT</t>
  </si>
  <si>
    <t>BM21255</t>
  </si>
  <si>
    <t>BUFFALO JEANS</t>
  </si>
  <si>
    <t>BUFFALO JEANS/CENTRIC DENIM USA LLC</t>
  </si>
  <si>
    <t>741065201468</t>
  </si>
  <si>
    <t>L/S SPACE DYE 1/4 ZIP WI</t>
  </si>
  <si>
    <t>40TY897</t>
  </si>
  <si>
    <t>741065206043</t>
  </si>
  <si>
    <t>COTTON MODAL RIB TRIM BA</t>
  </si>
  <si>
    <t>40T7051</t>
  </si>
  <si>
    <t>COTTON/MODAL</t>
  </si>
  <si>
    <t>741065206074</t>
  </si>
  <si>
    <t>741065206081</t>
  </si>
  <si>
    <t>192504202728</t>
  </si>
  <si>
    <t>HIGHLINE TIJUANA 20</t>
  </si>
  <si>
    <t>EQYBS04084</t>
  </si>
  <si>
    <t>CORE SURF</t>
  </si>
  <si>
    <t>QUIKSILVER/BOARDRIDERS WHOLESALE</t>
  </si>
  <si>
    <t>192504202759</t>
  </si>
  <si>
    <t>192504202841</t>
  </si>
  <si>
    <t>BRIGHT PUR</t>
  </si>
  <si>
    <t>631712446734</t>
  </si>
  <si>
    <t>24N1464</t>
  </si>
  <si>
    <t>11333803831</t>
  </si>
  <si>
    <t>LS REG NI STRETCH CHECK</t>
  </si>
  <si>
    <t>24N1532</t>
  </si>
  <si>
    <t>193238152938</t>
  </si>
  <si>
    <t>URBAN CARGO</t>
  </si>
  <si>
    <t>636206766442</t>
  </si>
  <si>
    <t>RPLN LUXE SPTCT BASIC</t>
  </si>
  <si>
    <t>100007581A</t>
  </si>
  <si>
    <t>SHELL: COTTON/NYLON/SPANDEX; LINING:POLYESTER</t>
  </si>
  <si>
    <t>732997835906</t>
  </si>
  <si>
    <t>DISCO TRACK JACKET</t>
  </si>
  <si>
    <t>LT/PAS YEL</t>
  </si>
  <si>
    <t>POLYESTER/NYLON/RAYON/METALLIC</t>
  </si>
  <si>
    <t>11531861008</t>
  </si>
  <si>
    <t>MQM LOW RISE TRUNK 3PK</t>
  </si>
  <si>
    <t>NB1656</t>
  </si>
  <si>
    <t>767325089553</t>
  </si>
  <si>
    <t>LS HOODED TEES</t>
  </si>
  <si>
    <t>738085275531</t>
  </si>
  <si>
    <t>NI STRETCH POPLIN BASIC</t>
  </si>
  <si>
    <t>RALPH LAUREN REPLEN/POLO RALPH</t>
  </si>
  <si>
    <t>883498425407</t>
  </si>
  <si>
    <t>PROM BLACK PANT</t>
  </si>
  <si>
    <t>RONYPR3Z0003</t>
  </si>
  <si>
    <t>RYAN SEACREST/PEERLESS CLOTHING</t>
  </si>
  <si>
    <t>191299088753</t>
  </si>
  <si>
    <t>BUFFALO FLANNEL L/S SHIR</t>
  </si>
  <si>
    <t>M4000001A</t>
  </si>
  <si>
    <t>IMPLS COL MEN</t>
  </si>
  <si>
    <t>SUPERDRY WHOLESALE LLC</t>
  </si>
  <si>
    <t>749372144997</t>
  </si>
  <si>
    <t>W94104-BS CAS STRIPE</t>
  </si>
  <si>
    <t>W94104</t>
  </si>
  <si>
    <t>NAUTICA-MENS</t>
  </si>
  <si>
    <t>NAUTICA OPCO LLC</t>
  </si>
  <si>
    <t>749372038708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</si>
</sst>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11"/>
      <color indexed="4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1" applyNumberFormat="0" applyAlignment="0" applyProtection="0"/>
    <xf numFmtId="0" fontId="11" fillId="28" borderId="2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1" applyNumberFormat="0" applyAlignment="0" applyProtection="0"/>
    <xf numFmtId="0" fontId="18" fillId="0" borderId="6" applyNumberFormat="0" applyFill="0" applyAlignment="0" applyProtection="0"/>
    <xf numFmtId="0" fontId="19" fillId="31" borderId="0" applyNumberFormat="0" applyBorder="0" applyAlignment="0" applyProtection="0"/>
    <xf numFmtId="0" fontId="1" fillId="32" borderId="7" applyNumberFormat="0" applyFont="0" applyAlignment="0" applyProtection="0"/>
    <xf numFmtId="0" fontId="20" fillId="2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0" fontId="6" fillId="0" borderId="0" xfId="0" applyFont="1"/>
    <xf numFmtId="0" fontId="2" fillId="0" borderId="0" xfId="0" applyFont="1"/>
    <xf numFmtId="164" fontId="2" fillId="0" borderId="0" xfId="0" applyNumberFormat="1" applyFont="1"/>
    <xf numFmtId="1" fontId="2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F16"/>
  <sheetViews>
    <sheetView workbookViewId="0">
      <selection activeCell="E18" sqref="E18"/>
    </sheetView>
  </sheetViews>
  <sheetFormatPr defaultRowHeight="15.2" customHeight="1" x14ac:dyDescent="0.25"/>
  <cols>
    <col min="1" max="1" width="9" bestFit="1" customWidth="1"/>
    <col min="2" max="2" width="28.85546875" bestFit="1" customWidth="1"/>
    <col min="3" max="3" width="12.42578125" bestFit="1" customWidth="1"/>
    <col min="4" max="4" width="15" bestFit="1" customWidth="1"/>
    <col min="5" max="5" width="9.85546875" bestFit="1" customWidth="1"/>
  </cols>
  <sheetData>
    <row r="1" spans="1:6" ht="15.2" customHeight="1" x14ac:dyDescent="0.25">
      <c r="A1" s="2" t="s">
        <v>431</v>
      </c>
      <c r="B1" s="2" t="s">
        <v>432</v>
      </c>
      <c r="C1" s="2" t="s">
        <v>433</v>
      </c>
      <c r="D1" s="2" t="s">
        <v>434</v>
      </c>
      <c r="E1" s="2" t="s">
        <v>435</v>
      </c>
    </row>
    <row r="2" spans="1:6" ht="15.2" customHeight="1" x14ac:dyDescent="0.25">
      <c r="A2" s="4">
        <v>12752324</v>
      </c>
      <c r="B2" s="4" t="s">
        <v>436</v>
      </c>
      <c r="C2" s="9">
        <v>1</v>
      </c>
      <c r="D2" s="5">
        <v>21061.62</v>
      </c>
      <c r="E2" s="4">
        <v>549</v>
      </c>
    </row>
    <row r="3" spans="1:6" ht="15.2" customHeight="1" x14ac:dyDescent="0.25">
      <c r="A3" s="4">
        <v>12735479</v>
      </c>
      <c r="B3" s="4" t="s">
        <v>436</v>
      </c>
      <c r="C3" s="9">
        <v>1</v>
      </c>
      <c r="D3" s="5">
        <v>17025.77</v>
      </c>
      <c r="E3" s="4">
        <v>439</v>
      </c>
    </row>
    <row r="4" spans="1:6" ht="15.2" customHeight="1" x14ac:dyDescent="0.25">
      <c r="A4" s="4">
        <v>12691792</v>
      </c>
      <c r="B4" s="4" t="s">
        <v>436</v>
      </c>
      <c r="C4" s="9">
        <v>1</v>
      </c>
      <c r="D4" s="5">
        <v>20315.490000000002</v>
      </c>
      <c r="E4" s="4">
        <v>548</v>
      </c>
    </row>
    <row r="5" spans="1:6" ht="15.2" customHeight="1" x14ac:dyDescent="0.25">
      <c r="A5" s="4">
        <v>12748560</v>
      </c>
      <c r="B5" s="4" t="s">
        <v>436</v>
      </c>
      <c r="C5" s="9">
        <v>1</v>
      </c>
      <c r="D5" s="5">
        <v>23471.89</v>
      </c>
      <c r="E5" s="4">
        <v>583</v>
      </c>
    </row>
    <row r="6" spans="1:6" ht="15.2" customHeight="1" x14ac:dyDescent="0.25">
      <c r="A6" s="4">
        <v>12736834</v>
      </c>
      <c r="B6" s="4" t="s">
        <v>436</v>
      </c>
      <c r="C6" s="9">
        <v>1</v>
      </c>
      <c r="D6" s="5">
        <v>22348.13</v>
      </c>
      <c r="E6" s="4">
        <v>543</v>
      </c>
    </row>
    <row r="7" spans="1:6" ht="15.2" customHeight="1" x14ac:dyDescent="0.25">
      <c r="A7" s="4">
        <v>12750277</v>
      </c>
      <c r="B7" s="4" t="s">
        <v>436</v>
      </c>
      <c r="C7" s="9">
        <v>1</v>
      </c>
      <c r="D7" s="5">
        <v>22377.51</v>
      </c>
      <c r="E7" s="4">
        <v>519</v>
      </c>
    </row>
    <row r="8" spans="1:6" ht="15.2" customHeight="1" x14ac:dyDescent="0.25">
      <c r="A8" s="4">
        <v>12779787</v>
      </c>
      <c r="B8" s="4" t="s">
        <v>436</v>
      </c>
      <c r="C8" s="9">
        <v>1</v>
      </c>
      <c r="D8" s="5">
        <v>31781.919999999998</v>
      </c>
      <c r="E8" s="4">
        <v>778</v>
      </c>
      <c r="F8" s="12"/>
    </row>
    <row r="9" spans="1:6" ht="15.2" customHeight="1" x14ac:dyDescent="0.25">
      <c r="A9" s="4">
        <v>12703520</v>
      </c>
      <c r="B9" s="4" t="s">
        <v>436</v>
      </c>
      <c r="C9" s="9">
        <v>1</v>
      </c>
      <c r="D9" s="5">
        <v>21936.61</v>
      </c>
      <c r="E9" s="4">
        <v>522</v>
      </c>
    </row>
    <row r="10" spans="1:6" ht="15.2" customHeight="1" x14ac:dyDescent="0.25">
      <c r="A10" s="4">
        <v>12698587</v>
      </c>
      <c r="B10" s="4" t="s">
        <v>436</v>
      </c>
      <c r="C10" s="9">
        <v>1</v>
      </c>
      <c r="D10" s="5">
        <v>24282.92</v>
      </c>
      <c r="E10" s="4">
        <v>538</v>
      </c>
    </row>
    <row r="11" spans="1:6" ht="15.2" customHeight="1" x14ac:dyDescent="0.25">
      <c r="A11" s="4">
        <v>12694548</v>
      </c>
      <c r="B11" s="4" t="s">
        <v>436</v>
      </c>
      <c r="C11" s="9">
        <v>1</v>
      </c>
      <c r="D11" s="5">
        <v>22669.75</v>
      </c>
      <c r="E11" s="4">
        <v>604</v>
      </c>
    </row>
    <row r="12" spans="1:6" ht="15.2" customHeight="1" x14ac:dyDescent="0.25">
      <c r="C12" s="13">
        <f>SUM(C2:C11)</f>
        <v>10</v>
      </c>
      <c r="D12" s="14">
        <f>SUM(D2:D11)</f>
        <v>227271.61</v>
      </c>
      <c r="E12" s="15">
        <f>SUM(E2:E11)</f>
        <v>5623</v>
      </c>
    </row>
    <row r="13" spans="1:6" ht="15.2" customHeight="1" x14ac:dyDescent="0.25">
      <c r="D13" s="10"/>
      <c r="E13" s="11"/>
    </row>
    <row r="14" spans="1:6" ht="15.2" customHeight="1" x14ac:dyDescent="0.25">
      <c r="D14" s="10"/>
      <c r="E14" s="11"/>
    </row>
    <row r="15" spans="1:6" ht="15.2" customHeight="1" x14ac:dyDescent="0.25">
      <c r="D15" s="10"/>
      <c r="E15" s="11"/>
    </row>
    <row r="16" spans="1:6" ht="15.2" customHeight="1" x14ac:dyDescent="0.25">
      <c r="D16" s="10"/>
      <c r="E16" s="11"/>
    </row>
  </sheetData>
  <phoneticPr fontId="0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206"/>
  <sheetViews>
    <sheetView workbookViewId="0">
      <selection activeCell="E18" sqref="E18"/>
    </sheetView>
  </sheetViews>
  <sheetFormatPr defaultRowHeight="15" x14ac:dyDescent="0.25"/>
  <cols>
    <col min="1" max="1" width="14.28515625" customWidth="1"/>
    <col min="2" max="2" width="22.85546875" customWidth="1"/>
    <col min="3" max="3" width="15" customWidth="1"/>
    <col min="4" max="4" width="9.7109375" customWidth="1"/>
    <col min="5" max="5" width="12.57031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24.75" x14ac:dyDescent="0.25">
      <c r="A2" s="6" t="s">
        <v>1168</v>
      </c>
      <c r="B2" s="3" t="s">
        <v>1169</v>
      </c>
      <c r="C2" s="4">
        <v>1</v>
      </c>
      <c r="D2" s="5">
        <v>249</v>
      </c>
      <c r="E2" s="4" t="s">
        <v>1170</v>
      </c>
      <c r="F2" s="3" t="s">
        <v>5625</v>
      </c>
      <c r="G2" s="7" t="s">
        <v>5596</v>
      </c>
      <c r="H2" s="3" t="s">
        <v>5715</v>
      </c>
      <c r="I2" s="3" t="s">
        <v>5716</v>
      </c>
      <c r="J2" s="3" t="s">
        <v>5536</v>
      </c>
      <c r="K2" s="3" t="s">
        <v>5727</v>
      </c>
      <c r="L2" s="8" t="str">
        <f>HYPERLINK("http://slimages.macys.com/is/image/MCY/15625546 ")</f>
        <v xml:space="preserve">http://slimages.macys.com/is/image/MCY/15625546 </v>
      </c>
    </row>
    <row r="3" spans="1:12" ht="48.75" x14ac:dyDescent="0.25">
      <c r="A3" s="6" t="s">
        <v>1171</v>
      </c>
      <c r="B3" s="3" t="s">
        <v>1172</v>
      </c>
      <c r="C3" s="4">
        <v>1</v>
      </c>
      <c r="D3" s="5">
        <v>210</v>
      </c>
      <c r="E3" s="4" t="s">
        <v>1173</v>
      </c>
      <c r="F3" s="3" t="s">
        <v>5640</v>
      </c>
      <c r="G3" s="7" t="s">
        <v>4620</v>
      </c>
      <c r="H3" s="3" t="s">
        <v>7099</v>
      </c>
      <c r="I3" s="3" t="s">
        <v>5934</v>
      </c>
      <c r="J3" s="3" t="s">
        <v>5536</v>
      </c>
      <c r="K3" s="3" t="s">
        <v>4564</v>
      </c>
      <c r="L3" s="8" t="str">
        <f>HYPERLINK("http://slimages.macys.com/is/image/MCY/14022173 ")</f>
        <v xml:space="preserve">http://slimages.macys.com/is/image/MCY/14022173 </v>
      </c>
    </row>
    <row r="4" spans="1:12" ht="48.75" x14ac:dyDescent="0.25">
      <c r="A4" s="6" t="s">
        <v>1174</v>
      </c>
      <c r="B4" s="3" t="s">
        <v>5452</v>
      </c>
      <c r="C4" s="4">
        <v>1</v>
      </c>
      <c r="D4" s="5">
        <v>210</v>
      </c>
      <c r="E4" s="4" t="s">
        <v>1175</v>
      </c>
      <c r="F4" s="3" t="s">
        <v>5820</v>
      </c>
      <c r="G4" s="7" t="s">
        <v>4620</v>
      </c>
      <c r="H4" s="3" t="s">
        <v>7099</v>
      </c>
      <c r="I4" s="3" t="s">
        <v>5934</v>
      </c>
      <c r="J4" s="3" t="s">
        <v>5536</v>
      </c>
      <c r="K4" s="3" t="s">
        <v>4564</v>
      </c>
      <c r="L4" s="8" t="str">
        <f>HYPERLINK("http://slimages.macys.com/is/image/MCY/13698603 ")</f>
        <v xml:space="preserve">http://slimages.macys.com/is/image/MCY/13698603 </v>
      </c>
    </row>
    <row r="5" spans="1:12" ht="36.75" x14ac:dyDescent="0.25">
      <c r="A5" s="6" t="s">
        <v>1176</v>
      </c>
      <c r="B5" s="3" t="s">
        <v>1177</v>
      </c>
      <c r="C5" s="4">
        <v>1</v>
      </c>
      <c r="D5" s="5">
        <v>199</v>
      </c>
      <c r="E5" s="4" t="s">
        <v>1178</v>
      </c>
      <c r="F5" s="3"/>
      <c r="G5" s="7" t="s">
        <v>4577</v>
      </c>
      <c r="H5" s="3" t="s">
        <v>7059</v>
      </c>
      <c r="I5" s="3" t="s">
        <v>5934</v>
      </c>
      <c r="J5" s="3" t="s">
        <v>5536</v>
      </c>
      <c r="K5" s="3" t="s">
        <v>1179</v>
      </c>
      <c r="L5" s="8" t="str">
        <f>HYPERLINK("http://slimages.macys.com/is/image/MCY/13581836 ")</f>
        <v xml:space="preserve">http://slimages.macys.com/is/image/MCY/13581836 </v>
      </c>
    </row>
    <row r="6" spans="1:12" ht="48.75" x14ac:dyDescent="0.25">
      <c r="A6" s="6" t="s">
        <v>1180</v>
      </c>
      <c r="B6" s="3" t="s">
        <v>4580</v>
      </c>
      <c r="C6" s="4">
        <v>1</v>
      </c>
      <c r="D6" s="5">
        <v>187</v>
      </c>
      <c r="E6" s="4" t="s">
        <v>4581</v>
      </c>
      <c r="F6" s="3" t="s">
        <v>5532</v>
      </c>
      <c r="G6" s="7" t="s">
        <v>4618</v>
      </c>
      <c r="H6" s="3" t="s">
        <v>7059</v>
      </c>
      <c r="I6" s="3" t="s">
        <v>5934</v>
      </c>
      <c r="J6" s="3" t="s">
        <v>5536</v>
      </c>
      <c r="K6" s="3" t="s">
        <v>4564</v>
      </c>
      <c r="L6" s="8" t="str">
        <f>HYPERLINK("http://slimages.macys.com/is/image/MCY/13984590 ")</f>
        <v xml:space="preserve">http://slimages.macys.com/is/image/MCY/13984590 </v>
      </c>
    </row>
    <row r="7" spans="1:12" ht="36.75" x14ac:dyDescent="0.25">
      <c r="A7" s="6" t="s">
        <v>1181</v>
      </c>
      <c r="B7" s="3" t="s">
        <v>1182</v>
      </c>
      <c r="C7" s="4">
        <v>1</v>
      </c>
      <c r="D7" s="5">
        <v>139</v>
      </c>
      <c r="E7" s="4" t="s">
        <v>1183</v>
      </c>
      <c r="F7" s="3" t="s">
        <v>5661</v>
      </c>
      <c r="G7" s="7" t="s">
        <v>4563</v>
      </c>
      <c r="H7" s="3" t="s">
        <v>7059</v>
      </c>
      <c r="I7" s="3" t="s">
        <v>7138</v>
      </c>
      <c r="J7" s="3" t="s">
        <v>5536</v>
      </c>
      <c r="K7" s="3" t="s">
        <v>1184</v>
      </c>
      <c r="L7" s="8" t="str">
        <f>HYPERLINK("http://slimages.macys.com/is/image/MCY/15969994 ")</f>
        <v xml:space="preserve">http://slimages.macys.com/is/image/MCY/15969994 </v>
      </c>
    </row>
    <row r="8" spans="1:12" ht="24.75" x14ac:dyDescent="0.25">
      <c r="A8" s="6" t="s">
        <v>1185</v>
      </c>
      <c r="B8" s="3" t="s">
        <v>4531</v>
      </c>
      <c r="C8" s="4">
        <v>2</v>
      </c>
      <c r="D8" s="5">
        <v>299.98</v>
      </c>
      <c r="E8" s="4" t="s">
        <v>4532</v>
      </c>
      <c r="F8" s="3" t="s">
        <v>5661</v>
      </c>
      <c r="G8" s="7" t="s">
        <v>5533</v>
      </c>
      <c r="H8" s="3" t="s">
        <v>4533</v>
      </c>
      <c r="I8" s="3" t="s">
        <v>4534</v>
      </c>
      <c r="J8" s="3" t="s">
        <v>5536</v>
      </c>
      <c r="K8" s="3" t="s">
        <v>4535</v>
      </c>
      <c r="L8" s="8" t="str">
        <f>HYPERLINK("http://slimages.macys.com/is/image/MCY/14428329 ")</f>
        <v xml:space="preserve">http://slimages.macys.com/is/image/MCY/14428329 </v>
      </c>
    </row>
    <row r="9" spans="1:12" ht="24.75" x14ac:dyDescent="0.25">
      <c r="A9" s="6" t="s">
        <v>4530</v>
      </c>
      <c r="B9" s="3" t="s">
        <v>4531</v>
      </c>
      <c r="C9" s="4">
        <v>5</v>
      </c>
      <c r="D9" s="5">
        <v>749.95</v>
      </c>
      <c r="E9" s="4" t="s">
        <v>4532</v>
      </c>
      <c r="F9" s="3" t="s">
        <v>5540</v>
      </c>
      <c r="G9" s="7" t="s">
        <v>5562</v>
      </c>
      <c r="H9" s="3" t="s">
        <v>4533</v>
      </c>
      <c r="I9" s="3" t="s">
        <v>4534</v>
      </c>
      <c r="J9" s="3" t="s">
        <v>5536</v>
      </c>
      <c r="K9" s="3" t="s">
        <v>4535</v>
      </c>
      <c r="L9" s="8" t="str">
        <f>HYPERLINK("http://slimages.macys.com/is/image/MCY/14428329 ")</f>
        <v xml:space="preserve">http://slimages.macys.com/is/image/MCY/14428329 </v>
      </c>
    </row>
    <row r="10" spans="1:12" ht="24.75" x14ac:dyDescent="0.25">
      <c r="A10" s="6" t="s">
        <v>1186</v>
      </c>
      <c r="B10" s="3" t="s">
        <v>4531</v>
      </c>
      <c r="C10" s="4">
        <v>1</v>
      </c>
      <c r="D10" s="5">
        <v>149.99</v>
      </c>
      <c r="E10" s="4" t="s">
        <v>4532</v>
      </c>
      <c r="F10" s="3" t="s">
        <v>5928</v>
      </c>
      <c r="G10" s="7" t="s">
        <v>5562</v>
      </c>
      <c r="H10" s="3" t="s">
        <v>4533</v>
      </c>
      <c r="I10" s="3" t="s">
        <v>4534</v>
      </c>
      <c r="J10" s="3" t="s">
        <v>5536</v>
      </c>
      <c r="K10" s="3" t="s">
        <v>4535</v>
      </c>
      <c r="L10" s="8" t="str">
        <f>HYPERLINK("http://slimages.macys.com/is/image/MCY/14428329 ")</f>
        <v xml:space="preserve">http://slimages.macys.com/is/image/MCY/14428329 </v>
      </c>
    </row>
    <row r="11" spans="1:12" ht="24.75" x14ac:dyDescent="0.25">
      <c r="A11" s="6" t="s">
        <v>1187</v>
      </c>
      <c r="B11" s="3" t="s">
        <v>4531</v>
      </c>
      <c r="C11" s="4">
        <v>1</v>
      </c>
      <c r="D11" s="5">
        <v>149.99</v>
      </c>
      <c r="E11" s="4" t="s">
        <v>4532</v>
      </c>
      <c r="F11" s="3" t="s">
        <v>5928</v>
      </c>
      <c r="G11" s="7" t="s">
        <v>5560</v>
      </c>
      <c r="H11" s="3" t="s">
        <v>4533</v>
      </c>
      <c r="I11" s="3" t="s">
        <v>4534</v>
      </c>
      <c r="J11" s="3" t="s">
        <v>5536</v>
      </c>
      <c r="K11" s="3" t="s">
        <v>4535</v>
      </c>
      <c r="L11" s="8" t="str">
        <f>HYPERLINK("http://slimages.macys.com/is/image/MCY/14428329 ")</f>
        <v xml:space="preserve">http://slimages.macys.com/is/image/MCY/14428329 </v>
      </c>
    </row>
    <row r="12" spans="1:12" ht="48.75" x14ac:dyDescent="0.25">
      <c r="A12" s="6" t="s">
        <v>1188</v>
      </c>
      <c r="B12" s="3" t="s">
        <v>1189</v>
      </c>
      <c r="C12" s="4">
        <v>1</v>
      </c>
      <c r="D12" s="5">
        <v>80</v>
      </c>
      <c r="E12" s="4" t="s">
        <v>1190</v>
      </c>
      <c r="F12" s="3" t="s">
        <v>5977</v>
      </c>
      <c r="G12" s="7" t="s">
        <v>5533</v>
      </c>
      <c r="H12" s="3" t="s">
        <v>3418</v>
      </c>
      <c r="I12" s="3" t="s">
        <v>3419</v>
      </c>
      <c r="J12" s="3" t="s">
        <v>5536</v>
      </c>
      <c r="K12" s="3" t="s">
        <v>1191</v>
      </c>
      <c r="L12" s="8" t="str">
        <f>HYPERLINK("http://slimages.macys.com/is/image/MCY/15004940 ")</f>
        <v xml:space="preserve">http://slimages.macys.com/is/image/MCY/15004940 </v>
      </c>
    </row>
    <row r="13" spans="1:12" ht="72.75" x14ac:dyDescent="0.25">
      <c r="A13" s="6" t="s">
        <v>1192</v>
      </c>
      <c r="B13" s="3" t="s">
        <v>1193</v>
      </c>
      <c r="C13" s="4">
        <v>1</v>
      </c>
      <c r="D13" s="5">
        <v>99.99</v>
      </c>
      <c r="E13" s="4" t="s">
        <v>1194</v>
      </c>
      <c r="F13" s="3" t="s">
        <v>5532</v>
      </c>
      <c r="G13" s="7" t="s">
        <v>5562</v>
      </c>
      <c r="H13" s="3" t="s">
        <v>4533</v>
      </c>
      <c r="I13" s="3" t="s">
        <v>1195</v>
      </c>
      <c r="J13" s="3" t="s">
        <v>5536</v>
      </c>
      <c r="K13" s="3" t="s">
        <v>1196</v>
      </c>
      <c r="L13" s="8" t="str">
        <f>HYPERLINK("http://slimages.macys.com/is/image/MCY/9901677 ")</f>
        <v xml:space="preserve">http://slimages.macys.com/is/image/MCY/9901677 </v>
      </c>
    </row>
    <row r="14" spans="1:12" ht="24.75" x14ac:dyDescent="0.25">
      <c r="A14" s="6" t="s">
        <v>1197</v>
      </c>
      <c r="B14" s="3" t="s">
        <v>1198</v>
      </c>
      <c r="C14" s="4">
        <v>1</v>
      </c>
      <c r="D14" s="5">
        <v>89.5</v>
      </c>
      <c r="E14" s="4" t="s">
        <v>1199</v>
      </c>
      <c r="F14" s="3" t="s">
        <v>5572</v>
      </c>
      <c r="G14" s="7" t="s">
        <v>5533</v>
      </c>
      <c r="H14" s="3" t="s">
        <v>5715</v>
      </c>
      <c r="I14" s="3" t="s">
        <v>5716</v>
      </c>
      <c r="J14" s="3" t="s">
        <v>5536</v>
      </c>
      <c r="K14" s="3" t="s">
        <v>5594</v>
      </c>
      <c r="L14" s="8" t="str">
        <f>HYPERLINK("http://slimages.macys.com/is/image/MCY/15630308 ")</f>
        <v xml:space="preserve">http://slimages.macys.com/is/image/MCY/15630308 </v>
      </c>
    </row>
    <row r="15" spans="1:12" ht="36.75" x14ac:dyDescent="0.25">
      <c r="A15" s="6" t="s">
        <v>1200</v>
      </c>
      <c r="B15" s="3" t="s">
        <v>1201</v>
      </c>
      <c r="C15" s="4">
        <v>1</v>
      </c>
      <c r="D15" s="5">
        <v>94.4</v>
      </c>
      <c r="E15" s="4" t="s">
        <v>1202</v>
      </c>
      <c r="F15" s="3" t="s">
        <v>5532</v>
      </c>
      <c r="G15" s="7" t="s">
        <v>5557</v>
      </c>
      <c r="H15" s="3" t="s">
        <v>7099</v>
      </c>
      <c r="I15" s="3" t="s">
        <v>4573</v>
      </c>
      <c r="J15" s="3" t="s">
        <v>5536</v>
      </c>
      <c r="K15" s="3" t="s">
        <v>7038</v>
      </c>
      <c r="L15" s="8" t="str">
        <f>HYPERLINK("http://slimages.macys.com/is/image/MCY/13760460 ")</f>
        <v xml:space="preserve">http://slimages.macys.com/is/image/MCY/13760460 </v>
      </c>
    </row>
    <row r="16" spans="1:12" ht="36.75" x14ac:dyDescent="0.25">
      <c r="A16" s="6" t="s">
        <v>1203</v>
      </c>
      <c r="B16" s="3" t="s">
        <v>4566</v>
      </c>
      <c r="C16" s="4">
        <v>1</v>
      </c>
      <c r="D16" s="5">
        <v>90</v>
      </c>
      <c r="E16" s="4" t="s">
        <v>4656</v>
      </c>
      <c r="F16" s="3" t="s">
        <v>5803</v>
      </c>
      <c r="G16" s="7" t="s">
        <v>5694</v>
      </c>
      <c r="H16" s="3" t="s">
        <v>7099</v>
      </c>
      <c r="I16" s="3" t="s">
        <v>5934</v>
      </c>
      <c r="J16" s="3" t="s">
        <v>5536</v>
      </c>
      <c r="K16" s="3" t="s">
        <v>7038</v>
      </c>
      <c r="L16" s="8" t="str">
        <f>HYPERLINK("http://slimages.macys.com/is/image/MCY/13947562 ")</f>
        <v xml:space="preserve">http://slimages.macys.com/is/image/MCY/13947562 </v>
      </c>
    </row>
    <row r="17" spans="1:12" ht="36.75" x14ac:dyDescent="0.25">
      <c r="A17" s="6" t="s">
        <v>1204</v>
      </c>
      <c r="B17" s="3" t="s">
        <v>1205</v>
      </c>
      <c r="C17" s="4">
        <v>1</v>
      </c>
      <c r="D17" s="5">
        <v>90</v>
      </c>
      <c r="E17" s="4" t="s">
        <v>1206</v>
      </c>
      <c r="F17" s="3"/>
      <c r="G17" s="7" t="s">
        <v>5631</v>
      </c>
      <c r="H17" s="3" t="s">
        <v>7099</v>
      </c>
      <c r="I17" s="3" t="s">
        <v>5934</v>
      </c>
      <c r="J17" s="3" t="s">
        <v>5536</v>
      </c>
      <c r="K17" s="3" t="s">
        <v>7038</v>
      </c>
      <c r="L17" s="8" t="str">
        <f>HYPERLINK("http://slimages.macys.com/is/image/MCY/13859101 ")</f>
        <v xml:space="preserve">http://slimages.macys.com/is/image/MCY/13859101 </v>
      </c>
    </row>
    <row r="18" spans="1:12" ht="36.75" x14ac:dyDescent="0.25">
      <c r="A18" s="6" t="s">
        <v>1207</v>
      </c>
      <c r="B18" s="3" t="s">
        <v>5319</v>
      </c>
      <c r="C18" s="4">
        <v>1</v>
      </c>
      <c r="D18" s="5">
        <v>90</v>
      </c>
      <c r="E18" s="4" t="s">
        <v>5320</v>
      </c>
      <c r="F18" s="3" t="s">
        <v>6075</v>
      </c>
      <c r="G18" s="7" t="s">
        <v>5694</v>
      </c>
      <c r="H18" s="3" t="s">
        <v>7099</v>
      </c>
      <c r="I18" s="3" t="s">
        <v>5934</v>
      </c>
      <c r="J18" s="3" t="s">
        <v>5536</v>
      </c>
      <c r="K18" s="3" t="s">
        <v>7038</v>
      </c>
      <c r="L18" s="8" t="str">
        <f>HYPERLINK("http://slimages.macys.com/is/image/MCY/14351358 ")</f>
        <v xml:space="preserve">http://slimages.macys.com/is/image/MCY/14351358 </v>
      </c>
    </row>
    <row r="19" spans="1:12" ht="48.75" x14ac:dyDescent="0.25">
      <c r="A19" s="6" t="s">
        <v>1208</v>
      </c>
      <c r="B19" s="3" t="s">
        <v>1209</v>
      </c>
      <c r="C19" s="4">
        <v>1</v>
      </c>
      <c r="D19" s="5">
        <v>92</v>
      </c>
      <c r="E19" s="4" t="s">
        <v>1210</v>
      </c>
      <c r="F19" s="3" t="s">
        <v>5625</v>
      </c>
      <c r="G19" s="7" t="s">
        <v>5658</v>
      </c>
      <c r="H19" s="3" t="s">
        <v>7099</v>
      </c>
      <c r="I19" s="3" t="s">
        <v>5934</v>
      </c>
      <c r="J19" s="3" t="s">
        <v>5536</v>
      </c>
      <c r="K19" s="3" t="s">
        <v>1211</v>
      </c>
      <c r="L19" s="8" t="str">
        <f>HYPERLINK("http://slimages.macys.com/is/image/MCY/13441212 ")</f>
        <v xml:space="preserve">http://slimages.macys.com/is/image/MCY/13441212 </v>
      </c>
    </row>
    <row r="20" spans="1:12" ht="24.75" x14ac:dyDescent="0.25">
      <c r="A20" s="6" t="s">
        <v>1212</v>
      </c>
      <c r="B20" s="3" t="s">
        <v>1213</v>
      </c>
      <c r="C20" s="4">
        <v>1</v>
      </c>
      <c r="D20" s="5">
        <v>65</v>
      </c>
      <c r="E20" s="4" t="s">
        <v>1214</v>
      </c>
      <c r="F20" s="3" t="s">
        <v>5820</v>
      </c>
      <c r="G20" s="7" t="s">
        <v>1215</v>
      </c>
      <c r="H20" s="3" t="s">
        <v>4379</v>
      </c>
      <c r="I20" s="3" t="s">
        <v>5296</v>
      </c>
      <c r="J20" s="3" t="s">
        <v>5536</v>
      </c>
      <c r="K20" s="3" t="s">
        <v>1216</v>
      </c>
      <c r="L20" s="8" t="str">
        <f>HYPERLINK("http://slimages.macys.com/is/image/MCY/13893616 ")</f>
        <v xml:space="preserve">http://slimages.macys.com/is/image/MCY/13893616 </v>
      </c>
    </row>
    <row r="21" spans="1:12" x14ac:dyDescent="0.25">
      <c r="A21" s="6" t="s">
        <v>1217</v>
      </c>
      <c r="B21" s="3" t="s">
        <v>5628</v>
      </c>
      <c r="C21" s="4">
        <v>1</v>
      </c>
      <c r="D21" s="5">
        <v>53.5</v>
      </c>
      <c r="E21" s="4">
        <v>295070438</v>
      </c>
      <c r="F21" s="3" t="s">
        <v>5540</v>
      </c>
      <c r="G21" s="7" t="s">
        <v>2764</v>
      </c>
      <c r="H21" s="3" t="s">
        <v>5606</v>
      </c>
      <c r="I21" s="3" t="s">
        <v>5607</v>
      </c>
      <c r="J21" s="3" t="s">
        <v>5536</v>
      </c>
      <c r="K21" s="3" t="s">
        <v>5558</v>
      </c>
      <c r="L21" s="8" t="str">
        <f>HYPERLINK("http://slimages.macys.com/is/image/MCY/15555583 ")</f>
        <v xml:space="preserve">http://slimages.macys.com/is/image/MCY/15555583 </v>
      </c>
    </row>
    <row r="22" spans="1:12" ht="24.75" x14ac:dyDescent="0.25">
      <c r="A22" s="6" t="s">
        <v>1218</v>
      </c>
      <c r="B22" s="3" t="s">
        <v>1219</v>
      </c>
      <c r="C22" s="4">
        <v>1</v>
      </c>
      <c r="D22" s="5">
        <v>53.5</v>
      </c>
      <c r="E22" s="4">
        <v>45113776</v>
      </c>
      <c r="F22" s="3" t="s">
        <v>6983</v>
      </c>
      <c r="G22" s="7" t="s">
        <v>5694</v>
      </c>
      <c r="H22" s="3" t="s">
        <v>5606</v>
      </c>
      <c r="I22" s="3" t="s">
        <v>5607</v>
      </c>
      <c r="J22" s="3" t="s">
        <v>5536</v>
      </c>
      <c r="K22" s="3" t="s">
        <v>5594</v>
      </c>
      <c r="L22" s="8" t="str">
        <f>HYPERLINK("http://slimages.macys.com/is/image/MCY/14309202 ")</f>
        <v xml:space="preserve">http://slimages.macys.com/is/image/MCY/14309202 </v>
      </c>
    </row>
    <row r="23" spans="1:12" ht="24.75" x14ac:dyDescent="0.25">
      <c r="A23" s="6" t="s">
        <v>1220</v>
      </c>
      <c r="B23" s="3" t="s">
        <v>3475</v>
      </c>
      <c r="C23" s="4">
        <v>1</v>
      </c>
      <c r="D23" s="5">
        <v>53.5</v>
      </c>
      <c r="E23" s="4">
        <v>181810426</v>
      </c>
      <c r="F23" s="3" t="s">
        <v>5604</v>
      </c>
      <c r="G23" s="7" t="s">
        <v>5629</v>
      </c>
      <c r="H23" s="3" t="s">
        <v>5606</v>
      </c>
      <c r="I23" s="3" t="s">
        <v>5607</v>
      </c>
      <c r="J23" s="3" t="s">
        <v>5536</v>
      </c>
      <c r="K23" s="3" t="s">
        <v>5641</v>
      </c>
      <c r="L23" s="8" t="str">
        <f>HYPERLINK("http://slimages.macys.com/is/image/MCY/13862825 ")</f>
        <v xml:space="preserve">http://slimages.macys.com/is/image/MCY/13862825 </v>
      </c>
    </row>
    <row r="24" spans="1:12" x14ac:dyDescent="0.25">
      <c r="A24" s="6" t="s">
        <v>1221</v>
      </c>
      <c r="B24" s="3" t="s">
        <v>5643</v>
      </c>
      <c r="C24" s="4">
        <v>1</v>
      </c>
      <c r="D24" s="5">
        <v>53.5</v>
      </c>
      <c r="E24" s="4">
        <v>295070547</v>
      </c>
      <c r="F24" s="3" t="s">
        <v>5640</v>
      </c>
      <c r="G24" s="7" t="s">
        <v>2764</v>
      </c>
      <c r="H24" s="3" t="s">
        <v>5606</v>
      </c>
      <c r="I24" s="3" t="s">
        <v>5607</v>
      </c>
      <c r="J24" s="3" t="s">
        <v>5536</v>
      </c>
      <c r="K24" s="3" t="s">
        <v>5558</v>
      </c>
      <c r="L24" s="8" t="str">
        <f>HYPERLINK("http://slimages.macys.com/is/image/MCY/15555583 ")</f>
        <v xml:space="preserve">http://slimages.macys.com/is/image/MCY/15555583 </v>
      </c>
    </row>
    <row r="25" spans="1:12" ht="24.75" x14ac:dyDescent="0.25">
      <c r="A25" s="6" t="s">
        <v>1222</v>
      </c>
      <c r="B25" s="3" t="s">
        <v>3520</v>
      </c>
      <c r="C25" s="4">
        <v>1</v>
      </c>
      <c r="D25" s="5">
        <v>70.989999999999995</v>
      </c>
      <c r="E25" s="4" t="s">
        <v>1223</v>
      </c>
      <c r="F25" s="3"/>
      <c r="G25" s="7" t="s">
        <v>6476</v>
      </c>
      <c r="H25" s="3" t="s">
        <v>5722</v>
      </c>
      <c r="I25" s="3" t="s">
        <v>5723</v>
      </c>
      <c r="J25" s="3" t="s">
        <v>5536</v>
      </c>
      <c r="K25" s="3" t="s">
        <v>5558</v>
      </c>
      <c r="L25" s="8" t="str">
        <f>HYPERLINK("http://slimages.macys.com/is/image/MCY/14441947 ")</f>
        <v xml:space="preserve">http://slimages.macys.com/is/image/MCY/14441947 </v>
      </c>
    </row>
    <row r="26" spans="1:12" ht="24.75" x14ac:dyDescent="0.25">
      <c r="A26" s="6" t="s">
        <v>1224</v>
      </c>
      <c r="B26" s="3" t="s">
        <v>1225</v>
      </c>
      <c r="C26" s="4">
        <v>1</v>
      </c>
      <c r="D26" s="5">
        <v>95</v>
      </c>
      <c r="E26" s="4">
        <v>17451</v>
      </c>
      <c r="F26" s="3" t="s">
        <v>5714</v>
      </c>
      <c r="G26" s="7" t="s">
        <v>5533</v>
      </c>
      <c r="H26" s="3" t="s">
        <v>5842</v>
      </c>
      <c r="I26" s="3" t="s">
        <v>1226</v>
      </c>
      <c r="J26" s="3" t="s">
        <v>5536</v>
      </c>
      <c r="K26" s="3" t="s">
        <v>5844</v>
      </c>
      <c r="L26" s="8" t="str">
        <f>HYPERLINK("http://slimages.macys.com/is/image/MCY/9857120 ")</f>
        <v xml:space="preserve">http://slimages.macys.com/is/image/MCY/9857120 </v>
      </c>
    </row>
    <row r="27" spans="1:12" ht="24.75" x14ac:dyDescent="0.25">
      <c r="A27" s="6" t="s">
        <v>1227</v>
      </c>
      <c r="B27" s="3" t="s">
        <v>1228</v>
      </c>
      <c r="C27" s="4">
        <v>1</v>
      </c>
      <c r="D27" s="5">
        <v>89.5</v>
      </c>
      <c r="E27" s="4">
        <v>712722194004</v>
      </c>
      <c r="F27" s="3" t="s">
        <v>5532</v>
      </c>
      <c r="G27" s="7" t="s">
        <v>6025</v>
      </c>
      <c r="H27" s="3" t="s">
        <v>5722</v>
      </c>
      <c r="I27" s="3" t="s">
        <v>1229</v>
      </c>
      <c r="J27" s="3" t="s">
        <v>5536</v>
      </c>
      <c r="K27" s="3" t="s">
        <v>5594</v>
      </c>
      <c r="L27" s="8" t="str">
        <f>HYPERLINK("http://slimages.macys.com/is/image/MCY/10382072 ")</f>
        <v xml:space="preserve">http://slimages.macys.com/is/image/MCY/10382072 </v>
      </c>
    </row>
    <row r="28" spans="1:12" ht="24.75" x14ac:dyDescent="0.25">
      <c r="A28" s="6" t="s">
        <v>1230</v>
      </c>
      <c r="B28" s="3" t="s">
        <v>1231</v>
      </c>
      <c r="C28" s="4">
        <v>1</v>
      </c>
      <c r="D28" s="5">
        <v>75</v>
      </c>
      <c r="E28" s="4">
        <v>405712434003</v>
      </c>
      <c r="F28" s="3" t="s">
        <v>5556</v>
      </c>
      <c r="G28" s="7" t="s">
        <v>6491</v>
      </c>
      <c r="H28" s="3" t="s">
        <v>5534</v>
      </c>
      <c r="I28" s="3" t="s">
        <v>2730</v>
      </c>
      <c r="J28" s="3" t="s">
        <v>5536</v>
      </c>
      <c r="K28" s="3" t="s">
        <v>6133</v>
      </c>
      <c r="L28" s="8" t="str">
        <f>HYPERLINK("http://slimages.macys.com/is/image/MCY/11723401 ")</f>
        <v xml:space="preserve">http://slimages.macys.com/is/image/MCY/11723401 </v>
      </c>
    </row>
    <row r="29" spans="1:12" ht="24.75" x14ac:dyDescent="0.25">
      <c r="A29" s="6" t="s">
        <v>1232</v>
      </c>
      <c r="B29" s="3" t="s">
        <v>1233</v>
      </c>
      <c r="C29" s="4">
        <v>1</v>
      </c>
      <c r="D29" s="5">
        <v>66.989999999999995</v>
      </c>
      <c r="E29" s="4" t="s">
        <v>1234</v>
      </c>
      <c r="F29" s="3" t="s">
        <v>5815</v>
      </c>
      <c r="G29" s="7" t="s">
        <v>5755</v>
      </c>
      <c r="H29" s="3" t="s">
        <v>5722</v>
      </c>
      <c r="I29" s="3" t="s">
        <v>5756</v>
      </c>
      <c r="J29" s="3" t="s">
        <v>5536</v>
      </c>
      <c r="K29" s="3" t="s">
        <v>5558</v>
      </c>
      <c r="L29" s="8" t="str">
        <f>HYPERLINK("http://slimages.macys.com/is/image/MCY/11542482 ")</f>
        <v xml:space="preserve">http://slimages.macys.com/is/image/MCY/11542482 </v>
      </c>
    </row>
    <row r="30" spans="1:12" ht="24.75" x14ac:dyDescent="0.25">
      <c r="A30" s="6" t="s">
        <v>1235</v>
      </c>
      <c r="B30" s="3" t="s">
        <v>2804</v>
      </c>
      <c r="C30" s="4">
        <v>1</v>
      </c>
      <c r="D30" s="5">
        <v>59.5</v>
      </c>
      <c r="E30" s="4" t="s">
        <v>2805</v>
      </c>
      <c r="F30" s="3" t="s">
        <v>7189</v>
      </c>
      <c r="G30" s="7" t="s">
        <v>5598</v>
      </c>
      <c r="H30" s="3" t="s">
        <v>5715</v>
      </c>
      <c r="I30" s="3" t="s">
        <v>5716</v>
      </c>
      <c r="J30" s="3" t="s">
        <v>5536</v>
      </c>
      <c r="K30" s="3" t="s">
        <v>5594</v>
      </c>
      <c r="L30" s="8" t="str">
        <f>HYPERLINK("http://slimages.macys.com/is/image/MCY/15631232 ")</f>
        <v xml:space="preserve">http://slimages.macys.com/is/image/MCY/15631232 </v>
      </c>
    </row>
    <row r="31" spans="1:12" ht="24.75" x14ac:dyDescent="0.25">
      <c r="A31" s="6" t="s">
        <v>1236</v>
      </c>
      <c r="B31" s="3" t="s">
        <v>1237</v>
      </c>
      <c r="C31" s="4">
        <v>1</v>
      </c>
      <c r="D31" s="5">
        <v>69.5</v>
      </c>
      <c r="E31" s="4" t="s">
        <v>1238</v>
      </c>
      <c r="F31" s="3" t="s">
        <v>6217</v>
      </c>
      <c r="G31" s="7" t="s">
        <v>5999</v>
      </c>
      <c r="H31" s="3" t="s">
        <v>7211</v>
      </c>
      <c r="I31" s="3" t="s">
        <v>7212</v>
      </c>
      <c r="J31" s="3" t="s">
        <v>5536</v>
      </c>
      <c r="K31" s="3" t="s">
        <v>5549</v>
      </c>
      <c r="L31" s="8" t="str">
        <f>HYPERLINK("http://slimages.macys.com/is/image/MCY/16467812 ")</f>
        <v xml:space="preserve">http://slimages.macys.com/is/image/MCY/16467812 </v>
      </c>
    </row>
    <row r="32" spans="1:12" ht="24.75" x14ac:dyDescent="0.25">
      <c r="A32" s="6" t="s">
        <v>1239</v>
      </c>
      <c r="B32" s="3" t="s">
        <v>1240</v>
      </c>
      <c r="C32" s="4">
        <v>1</v>
      </c>
      <c r="D32" s="5">
        <v>64.989999999999995</v>
      </c>
      <c r="E32" s="4">
        <v>700771695003</v>
      </c>
      <c r="F32" s="3" t="s">
        <v>5532</v>
      </c>
      <c r="G32" s="7" t="s">
        <v>5816</v>
      </c>
      <c r="H32" s="3" t="s">
        <v>5722</v>
      </c>
      <c r="I32" s="3" t="s">
        <v>1241</v>
      </c>
      <c r="J32" s="3" t="s">
        <v>5536</v>
      </c>
      <c r="K32" s="3" t="s">
        <v>5558</v>
      </c>
      <c r="L32" s="8" t="str">
        <f>HYPERLINK("http://slimages.macys.com/is/image/MCY/15414920 ")</f>
        <v xml:space="preserve">http://slimages.macys.com/is/image/MCY/15414920 </v>
      </c>
    </row>
    <row r="33" spans="1:12" ht="24.75" x14ac:dyDescent="0.25">
      <c r="A33" s="6" t="s">
        <v>1242</v>
      </c>
      <c r="B33" s="3" t="s">
        <v>1240</v>
      </c>
      <c r="C33" s="4">
        <v>1</v>
      </c>
      <c r="D33" s="5">
        <v>64.989999999999995</v>
      </c>
      <c r="E33" s="4">
        <v>700771695003</v>
      </c>
      <c r="F33" s="3" t="s">
        <v>5532</v>
      </c>
      <c r="G33" s="7"/>
      <c r="H33" s="3" t="s">
        <v>5722</v>
      </c>
      <c r="I33" s="3" t="s">
        <v>1241</v>
      </c>
      <c r="J33" s="3" t="s">
        <v>5536</v>
      </c>
      <c r="K33" s="3" t="s">
        <v>5558</v>
      </c>
      <c r="L33" s="8" t="str">
        <f>HYPERLINK("http://slimages.macys.com/is/image/MCY/15414920 ")</f>
        <v xml:space="preserve">http://slimages.macys.com/is/image/MCY/15414920 </v>
      </c>
    </row>
    <row r="34" spans="1:12" ht="24.75" x14ac:dyDescent="0.25">
      <c r="A34" s="6" t="s">
        <v>1243</v>
      </c>
      <c r="B34" s="3" t="s">
        <v>1240</v>
      </c>
      <c r="C34" s="4">
        <v>2</v>
      </c>
      <c r="D34" s="5">
        <v>129.97999999999999</v>
      </c>
      <c r="E34" s="4">
        <v>700771695003</v>
      </c>
      <c r="F34" s="3" t="s">
        <v>5532</v>
      </c>
      <c r="G34" s="7" t="s">
        <v>5766</v>
      </c>
      <c r="H34" s="3" t="s">
        <v>5722</v>
      </c>
      <c r="I34" s="3" t="s">
        <v>1241</v>
      </c>
      <c r="J34" s="3" t="s">
        <v>5536</v>
      </c>
      <c r="K34" s="3" t="s">
        <v>5558</v>
      </c>
      <c r="L34" s="8" t="str">
        <f>HYPERLINK("http://slimages.macys.com/is/image/MCY/15414920 ")</f>
        <v xml:space="preserve">http://slimages.macys.com/is/image/MCY/15414920 </v>
      </c>
    </row>
    <row r="35" spans="1:12" ht="24.75" x14ac:dyDescent="0.25">
      <c r="A35" s="6" t="s">
        <v>1244</v>
      </c>
      <c r="B35" s="3" t="s">
        <v>1245</v>
      </c>
      <c r="C35" s="4">
        <v>1</v>
      </c>
      <c r="D35" s="5">
        <v>64.989999999999995</v>
      </c>
      <c r="E35" s="4">
        <v>700730353001</v>
      </c>
      <c r="F35" s="3" t="s">
        <v>5532</v>
      </c>
      <c r="G35" s="7"/>
      <c r="H35" s="3" t="s">
        <v>5722</v>
      </c>
      <c r="I35" s="3" t="s">
        <v>1241</v>
      </c>
      <c r="J35" s="3" t="s">
        <v>5536</v>
      </c>
      <c r="K35" s="3" t="s">
        <v>5558</v>
      </c>
      <c r="L35" s="8" t="str">
        <f>HYPERLINK("http://slimages.macys.com/is/image/MCY/10508492 ")</f>
        <v xml:space="preserve">http://slimages.macys.com/is/image/MCY/10508492 </v>
      </c>
    </row>
    <row r="36" spans="1:12" ht="24.75" x14ac:dyDescent="0.25">
      <c r="A36" s="6" t="s">
        <v>1246</v>
      </c>
      <c r="B36" s="3" t="s">
        <v>1247</v>
      </c>
      <c r="C36" s="4">
        <v>1</v>
      </c>
      <c r="D36" s="5">
        <v>63</v>
      </c>
      <c r="E36" s="4" t="s">
        <v>1248</v>
      </c>
      <c r="F36" s="3" t="s">
        <v>5604</v>
      </c>
      <c r="G36" s="7"/>
      <c r="H36" s="3" t="s">
        <v>5842</v>
      </c>
      <c r="I36" s="3" t="s">
        <v>2163</v>
      </c>
      <c r="J36" s="3" t="s">
        <v>5536</v>
      </c>
      <c r="K36" s="3" t="s">
        <v>5574</v>
      </c>
      <c r="L36" s="8" t="str">
        <f>HYPERLINK("http://slimages.macys.com/is/image/MCY/16560235 ")</f>
        <v xml:space="preserve">http://slimages.macys.com/is/image/MCY/16560235 </v>
      </c>
    </row>
    <row r="37" spans="1:12" ht="24.75" x14ac:dyDescent="0.25">
      <c r="A37" s="6" t="s">
        <v>1249</v>
      </c>
      <c r="B37" s="3" t="s">
        <v>4752</v>
      </c>
      <c r="C37" s="4">
        <v>2</v>
      </c>
      <c r="D37" s="5">
        <v>120.16</v>
      </c>
      <c r="E37" s="4" t="s">
        <v>4753</v>
      </c>
      <c r="F37" s="3" t="s">
        <v>5540</v>
      </c>
      <c r="G37" s="7" t="s">
        <v>5533</v>
      </c>
      <c r="H37" s="3" t="s">
        <v>5842</v>
      </c>
      <c r="I37" s="3" t="s">
        <v>6082</v>
      </c>
      <c r="J37" s="3" t="s">
        <v>5536</v>
      </c>
      <c r="K37" s="3" t="s">
        <v>4754</v>
      </c>
      <c r="L37" s="8" t="str">
        <f>HYPERLINK("http://slimages.macys.com/is/image/MCY/14619245 ")</f>
        <v xml:space="preserve">http://slimages.macys.com/is/image/MCY/14619245 </v>
      </c>
    </row>
    <row r="38" spans="1:12" ht="24.75" x14ac:dyDescent="0.25">
      <c r="A38" s="6" t="s">
        <v>5839</v>
      </c>
      <c r="B38" s="3" t="s">
        <v>5840</v>
      </c>
      <c r="C38" s="4">
        <v>4</v>
      </c>
      <c r="D38" s="5">
        <v>237.52</v>
      </c>
      <c r="E38" s="4" t="s">
        <v>5841</v>
      </c>
      <c r="F38" s="3" t="s">
        <v>5540</v>
      </c>
      <c r="G38" s="7" t="s">
        <v>5596</v>
      </c>
      <c r="H38" s="3" t="s">
        <v>5842</v>
      </c>
      <c r="I38" s="3" t="s">
        <v>5843</v>
      </c>
      <c r="J38" s="3" t="s">
        <v>5536</v>
      </c>
      <c r="K38" s="3" t="s">
        <v>5844</v>
      </c>
      <c r="L38" s="8" t="str">
        <f>HYPERLINK("http://slimages.macys.com/is/image/MCY/14506290 ")</f>
        <v xml:space="preserve">http://slimages.macys.com/is/image/MCY/14506290 </v>
      </c>
    </row>
    <row r="39" spans="1:12" ht="24.75" x14ac:dyDescent="0.25">
      <c r="A39" s="6" t="s">
        <v>5846</v>
      </c>
      <c r="B39" s="3" t="s">
        <v>5840</v>
      </c>
      <c r="C39" s="4">
        <v>2</v>
      </c>
      <c r="D39" s="5">
        <v>118.76</v>
      </c>
      <c r="E39" s="4" t="s">
        <v>5841</v>
      </c>
      <c r="F39" s="3" t="s">
        <v>5540</v>
      </c>
      <c r="G39" s="7" t="s">
        <v>5533</v>
      </c>
      <c r="H39" s="3" t="s">
        <v>5842</v>
      </c>
      <c r="I39" s="3" t="s">
        <v>5843</v>
      </c>
      <c r="J39" s="3" t="s">
        <v>5536</v>
      </c>
      <c r="K39" s="3" t="s">
        <v>5844</v>
      </c>
      <c r="L39" s="8" t="str">
        <f>HYPERLINK("http://slimages.macys.com/is/image/MCY/14506290 ")</f>
        <v xml:space="preserve">http://slimages.macys.com/is/image/MCY/14506290 </v>
      </c>
    </row>
    <row r="40" spans="1:12" ht="24.75" x14ac:dyDescent="0.25">
      <c r="A40" s="6" t="s">
        <v>5494</v>
      </c>
      <c r="B40" s="3" t="s">
        <v>5848</v>
      </c>
      <c r="C40" s="4">
        <v>1</v>
      </c>
      <c r="D40" s="5">
        <v>34.99</v>
      </c>
      <c r="E40" s="4">
        <v>232510003</v>
      </c>
      <c r="F40" s="3" t="s">
        <v>5849</v>
      </c>
      <c r="G40" s="7" t="s">
        <v>6491</v>
      </c>
      <c r="H40" s="3" t="s">
        <v>5606</v>
      </c>
      <c r="I40" s="3" t="s">
        <v>5607</v>
      </c>
      <c r="J40" s="3" t="s">
        <v>5536</v>
      </c>
      <c r="K40" s="3" t="s">
        <v>5594</v>
      </c>
      <c r="L40" s="8" t="str">
        <f>HYPERLINK("http://slimages.macys.com/is/image/MCY/3266708 ")</f>
        <v xml:space="preserve">http://slimages.macys.com/is/image/MCY/3266708 </v>
      </c>
    </row>
    <row r="41" spans="1:12" ht="24.75" x14ac:dyDescent="0.25">
      <c r="A41" s="6" t="s">
        <v>1250</v>
      </c>
      <c r="B41" s="3" t="s">
        <v>5502</v>
      </c>
      <c r="C41" s="4">
        <v>1</v>
      </c>
      <c r="D41" s="5">
        <v>39.99</v>
      </c>
      <c r="E41" s="4" t="s">
        <v>5503</v>
      </c>
      <c r="F41" s="3" t="s">
        <v>5815</v>
      </c>
      <c r="G41" s="7" t="s">
        <v>5533</v>
      </c>
      <c r="H41" s="3" t="s">
        <v>5606</v>
      </c>
      <c r="I41" s="3" t="s">
        <v>5914</v>
      </c>
      <c r="J41" s="3" t="s">
        <v>5536</v>
      </c>
      <c r="K41" s="3" t="s">
        <v>5594</v>
      </c>
      <c r="L41" s="8" t="str">
        <f>HYPERLINK("http://slimages.macys.com/is/image/MCY/11485935 ")</f>
        <v xml:space="preserve">http://slimages.macys.com/is/image/MCY/11485935 </v>
      </c>
    </row>
    <row r="42" spans="1:12" ht="24.75" x14ac:dyDescent="0.25">
      <c r="A42" s="6" t="s">
        <v>1251</v>
      </c>
      <c r="B42" s="3" t="s">
        <v>1252</v>
      </c>
      <c r="C42" s="4">
        <v>1</v>
      </c>
      <c r="D42" s="5">
        <v>44</v>
      </c>
      <c r="E42" s="4" t="s">
        <v>1253</v>
      </c>
      <c r="F42" s="3" t="s">
        <v>5849</v>
      </c>
      <c r="G42" s="7" t="s">
        <v>5824</v>
      </c>
      <c r="H42" s="3" t="s">
        <v>5722</v>
      </c>
      <c r="I42" s="3" t="s">
        <v>5756</v>
      </c>
      <c r="J42" s="3" t="s">
        <v>5536</v>
      </c>
      <c r="K42" s="3" t="s">
        <v>5641</v>
      </c>
      <c r="L42" s="8" t="str">
        <f>HYPERLINK("http://slimages.macys.com/is/image/MCY/15145577 ")</f>
        <v xml:space="preserve">http://slimages.macys.com/is/image/MCY/15145577 </v>
      </c>
    </row>
    <row r="43" spans="1:12" ht="36.75" x14ac:dyDescent="0.25">
      <c r="A43" s="6" t="s">
        <v>5906</v>
      </c>
      <c r="B43" s="3" t="s">
        <v>5902</v>
      </c>
      <c r="C43" s="4">
        <v>1</v>
      </c>
      <c r="D43" s="5">
        <v>54</v>
      </c>
      <c r="E43" s="4" t="s">
        <v>5903</v>
      </c>
      <c r="F43" s="3" t="s">
        <v>5540</v>
      </c>
      <c r="G43" s="7" t="s">
        <v>5596</v>
      </c>
      <c r="H43" s="3" t="s">
        <v>5842</v>
      </c>
      <c r="I43" s="3" t="s">
        <v>5904</v>
      </c>
      <c r="J43" s="3" t="s">
        <v>5536</v>
      </c>
      <c r="K43" s="3" t="s">
        <v>5905</v>
      </c>
      <c r="L43" s="8" t="str">
        <f>HYPERLINK("http://slimages.macys.com/is/image/MCY/14618778 ")</f>
        <v xml:space="preserve">http://slimages.macys.com/is/image/MCY/14618778 </v>
      </c>
    </row>
    <row r="44" spans="1:12" ht="36.75" x14ac:dyDescent="0.25">
      <c r="A44" s="6" t="s">
        <v>1254</v>
      </c>
      <c r="B44" s="3" t="s">
        <v>5902</v>
      </c>
      <c r="C44" s="4">
        <v>1</v>
      </c>
      <c r="D44" s="5">
        <v>54</v>
      </c>
      <c r="E44" s="4" t="s">
        <v>5903</v>
      </c>
      <c r="F44" s="3" t="s">
        <v>5540</v>
      </c>
      <c r="G44" s="7" t="s">
        <v>5533</v>
      </c>
      <c r="H44" s="3" t="s">
        <v>5842</v>
      </c>
      <c r="I44" s="3" t="s">
        <v>5904</v>
      </c>
      <c r="J44" s="3" t="s">
        <v>5536</v>
      </c>
      <c r="K44" s="3" t="s">
        <v>5905</v>
      </c>
      <c r="L44" s="8" t="str">
        <f>HYPERLINK("http://slimages.macys.com/is/image/MCY/14618778 ")</f>
        <v xml:space="preserve">http://slimages.macys.com/is/image/MCY/14618778 </v>
      </c>
    </row>
    <row r="45" spans="1:12" x14ac:dyDescent="0.25">
      <c r="A45" s="6" t="s">
        <v>3861</v>
      </c>
      <c r="B45" s="3" t="s">
        <v>5922</v>
      </c>
      <c r="C45" s="4">
        <v>1</v>
      </c>
      <c r="D45" s="5">
        <v>59.5</v>
      </c>
      <c r="E45" s="4">
        <v>100031340</v>
      </c>
      <c r="F45" s="3" t="s">
        <v>5783</v>
      </c>
      <c r="G45" s="7" t="s">
        <v>5596</v>
      </c>
      <c r="H45" s="3" t="s">
        <v>5585</v>
      </c>
      <c r="I45" s="3" t="s">
        <v>5586</v>
      </c>
      <c r="J45" s="3" t="s">
        <v>5536</v>
      </c>
      <c r="K45" s="3" t="s">
        <v>5574</v>
      </c>
      <c r="L45" s="8" t="str">
        <f>HYPERLINK("http://slimages.macys.com/is/image/MCY/10790044 ")</f>
        <v xml:space="preserve">http://slimages.macys.com/is/image/MCY/10790044 </v>
      </c>
    </row>
    <row r="46" spans="1:12" x14ac:dyDescent="0.25">
      <c r="A46" s="6" t="s">
        <v>1255</v>
      </c>
      <c r="B46" s="3" t="s">
        <v>847</v>
      </c>
      <c r="C46" s="4">
        <v>1</v>
      </c>
      <c r="D46" s="5">
        <v>75</v>
      </c>
      <c r="E46" s="4">
        <v>100081899</v>
      </c>
      <c r="F46" s="3" t="s">
        <v>5783</v>
      </c>
      <c r="G46" s="7" t="s">
        <v>5533</v>
      </c>
      <c r="H46" s="3" t="s">
        <v>5585</v>
      </c>
      <c r="I46" s="3" t="s">
        <v>5734</v>
      </c>
      <c r="J46" s="3" t="s">
        <v>5536</v>
      </c>
      <c r="K46" s="3" t="s">
        <v>5574</v>
      </c>
      <c r="L46" s="8" t="str">
        <f>HYPERLINK("http://slimages.macys.com/is/image/MCY/15861710 ")</f>
        <v xml:space="preserve">http://slimages.macys.com/is/image/MCY/15861710 </v>
      </c>
    </row>
    <row r="47" spans="1:12" ht="24.75" x14ac:dyDescent="0.25">
      <c r="A47" s="6" t="s">
        <v>3670</v>
      </c>
      <c r="B47" s="3" t="s">
        <v>3667</v>
      </c>
      <c r="C47" s="4">
        <v>1</v>
      </c>
      <c r="D47" s="5">
        <v>45</v>
      </c>
      <c r="E47" s="4" t="s">
        <v>3668</v>
      </c>
      <c r="F47" s="3" t="s">
        <v>5803</v>
      </c>
      <c r="G47" s="7" t="s">
        <v>5685</v>
      </c>
      <c r="H47" s="3" t="s">
        <v>5862</v>
      </c>
      <c r="I47" s="3" t="s">
        <v>5934</v>
      </c>
      <c r="J47" s="3" t="s">
        <v>5536</v>
      </c>
      <c r="K47" s="3" t="s">
        <v>3669</v>
      </c>
      <c r="L47" s="8" t="str">
        <f>HYPERLINK("http://slimages.macys.com/is/image/MCY/14561725 ")</f>
        <v xml:space="preserve">http://slimages.macys.com/is/image/MCY/14561725 </v>
      </c>
    </row>
    <row r="48" spans="1:12" ht="24.75" x14ac:dyDescent="0.25">
      <c r="A48" s="6" t="s">
        <v>1256</v>
      </c>
      <c r="B48" s="3" t="s">
        <v>2940</v>
      </c>
      <c r="C48" s="4">
        <v>1</v>
      </c>
      <c r="D48" s="5">
        <v>39</v>
      </c>
      <c r="E48" s="4" t="s">
        <v>2941</v>
      </c>
      <c r="F48" s="3"/>
      <c r="G48" s="7" t="s">
        <v>5308</v>
      </c>
      <c r="H48" s="3" t="s">
        <v>5862</v>
      </c>
      <c r="I48" s="3" t="s">
        <v>5934</v>
      </c>
      <c r="J48" s="3" t="s">
        <v>5536</v>
      </c>
      <c r="K48" s="3" t="s">
        <v>6021</v>
      </c>
      <c r="L48" s="8" t="str">
        <f>HYPERLINK("http://slimages.macys.com/is/image/MCY/15612212 ")</f>
        <v xml:space="preserve">http://slimages.macys.com/is/image/MCY/15612212 </v>
      </c>
    </row>
    <row r="49" spans="1:12" ht="24.75" x14ac:dyDescent="0.25">
      <c r="A49" s="6" t="s">
        <v>1257</v>
      </c>
      <c r="B49" s="3" t="s">
        <v>1258</v>
      </c>
      <c r="C49" s="4">
        <v>1</v>
      </c>
      <c r="D49" s="5">
        <v>39.700000000000003</v>
      </c>
      <c r="E49" s="4" t="s">
        <v>1259</v>
      </c>
      <c r="F49" s="3" t="s">
        <v>6075</v>
      </c>
      <c r="G49" s="7" t="s">
        <v>5707</v>
      </c>
      <c r="H49" s="3" t="s">
        <v>5862</v>
      </c>
      <c r="I49" s="3" t="s">
        <v>5934</v>
      </c>
      <c r="J49" s="3" t="s">
        <v>5536</v>
      </c>
      <c r="K49" s="3" t="s">
        <v>5935</v>
      </c>
      <c r="L49" s="8" t="str">
        <f>HYPERLINK("http://slimages.macys.com/is/image/MCY/14737691 ")</f>
        <v xml:space="preserve">http://slimages.macys.com/is/image/MCY/14737691 </v>
      </c>
    </row>
    <row r="50" spans="1:12" ht="24.75" x14ac:dyDescent="0.25">
      <c r="A50" s="6" t="s">
        <v>1260</v>
      </c>
      <c r="B50" s="3" t="s">
        <v>1261</v>
      </c>
      <c r="C50" s="4">
        <v>1</v>
      </c>
      <c r="D50" s="5">
        <v>39.700000000000003</v>
      </c>
      <c r="E50" s="4" t="s">
        <v>1262</v>
      </c>
      <c r="F50" s="3" t="s">
        <v>5552</v>
      </c>
      <c r="G50" s="7" t="s">
        <v>5656</v>
      </c>
      <c r="H50" s="3" t="s">
        <v>5862</v>
      </c>
      <c r="I50" s="3" t="s">
        <v>5934</v>
      </c>
      <c r="J50" s="3" t="s">
        <v>5536</v>
      </c>
      <c r="K50" s="3" t="s">
        <v>5935</v>
      </c>
      <c r="L50" s="8" t="str">
        <f>HYPERLINK("http://slimages.macys.com/is/image/MCY/14737691 ")</f>
        <v xml:space="preserve">http://slimages.macys.com/is/image/MCY/14737691 </v>
      </c>
    </row>
    <row r="51" spans="1:12" x14ac:dyDescent="0.25">
      <c r="A51" s="6" t="s">
        <v>1263</v>
      </c>
      <c r="B51" s="3" t="s">
        <v>1264</v>
      </c>
      <c r="C51" s="4">
        <v>1</v>
      </c>
      <c r="D51" s="5">
        <v>34.99</v>
      </c>
      <c r="E51" s="4" t="s">
        <v>5941</v>
      </c>
      <c r="F51" s="3" t="s">
        <v>5783</v>
      </c>
      <c r="G51" s="7" t="s">
        <v>5560</v>
      </c>
      <c r="H51" s="3" t="s">
        <v>5606</v>
      </c>
      <c r="I51" s="3" t="s">
        <v>5914</v>
      </c>
      <c r="J51" s="3" t="s">
        <v>5536</v>
      </c>
      <c r="K51" s="3" t="s">
        <v>5553</v>
      </c>
      <c r="L51" s="8" t="str">
        <f>HYPERLINK("http://slimages.macys.com/is/image/MCY/11640947 ")</f>
        <v xml:space="preserve">http://slimages.macys.com/is/image/MCY/11640947 </v>
      </c>
    </row>
    <row r="52" spans="1:12" x14ac:dyDescent="0.25">
      <c r="A52" s="6" t="s">
        <v>1265</v>
      </c>
      <c r="B52" s="3" t="s">
        <v>1266</v>
      </c>
      <c r="C52" s="4">
        <v>1</v>
      </c>
      <c r="D52" s="5">
        <v>39</v>
      </c>
      <c r="E52" s="4" t="s">
        <v>1267</v>
      </c>
      <c r="F52" s="3" t="s">
        <v>5783</v>
      </c>
      <c r="G52" s="7" t="s">
        <v>5533</v>
      </c>
      <c r="H52" s="3" t="s">
        <v>5547</v>
      </c>
      <c r="I52" s="3" t="s">
        <v>5548</v>
      </c>
      <c r="J52" s="3" t="s">
        <v>5536</v>
      </c>
      <c r="K52" s="3" t="s">
        <v>5594</v>
      </c>
      <c r="L52" s="8" t="str">
        <f>HYPERLINK("http://slimages.macys.com/is/image/MCY/14602050 ")</f>
        <v xml:space="preserve">http://slimages.macys.com/is/image/MCY/14602050 </v>
      </c>
    </row>
    <row r="53" spans="1:12" ht="24.75" x14ac:dyDescent="0.25">
      <c r="A53" s="6" t="s">
        <v>2955</v>
      </c>
      <c r="B53" s="3" t="s">
        <v>3872</v>
      </c>
      <c r="C53" s="4">
        <v>1</v>
      </c>
      <c r="D53" s="5">
        <v>34.99</v>
      </c>
      <c r="E53" s="4" t="s">
        <v>3873</v>
      </c>
      <c r="F53" s="3" t="s">
        <v>6275</v>
      </c>
      <c r="G53" s="7" t="s">
        <v>5596</v>
      </c>
      <c r="H53" s="3" t="s">
        <v>5606</v>
      </c>
      <c r="I53" s="3" t="s">
        <v>5914</v>
      </c>
      <c r="J53" s="3" t="s">
        <v>5536</v>
      </c>
      <c r="K53" s="3" t="s">
        <v>5574</v>
      </c>
      <c r="L53" s="8" t="str">
        <f>HYPERLINK("http://slimages.macys.com/is/image/MCY/14433683 ")</f>
        <v xml:space="preserve">http://slimages.macys.com/is/image/MCY/14433683 </v>
      </c>
    </row>
    <row r="54" spans="1:12" x14ac:dyDescent="0.25">
      <c r="A54" s="6" t="s">
        <v>1268</v>
      </c>
      <c r="B54" s="3" t="s">
        <v>5951</v>
      </c>
      <c r="C54" s="4">
        <v>1</v>
      </c>
      <c r="D54" s="5">
        <v>34.99</v>
      </c>
      <c r="E54" s="4" t="s">
        <v>5952</v>
      </c>
      <c r="F54" s="3" t="s">
        <v>5566</v>
      </c>
      <c r="G54" s="7" t="s">
        <v>5533</v>
      </c>
      <c r="H54" s="3" t="s">
        <v>5606</v>
      </c>
      <c r="I54" s="3" t="s">
        <v>5914</v>
      </c>
      <c r="J54" s="3" t="s">
        <v>5536</v>
      </c>
      <c r="K54" s="3" t="s">
        <v>5594</v>
      </c>
      <c r="L54" s="8" t="str">
        <f>HYPERLINK("http://slimages.macys.com/is/image/MCY/15119060 ")</f>
        <v xml:space="preserve">http://slimages.macys.com/is/image/MCY/15119060 </v>
      </c>
    </row>
    <row r="55" spans="1:12" ht="24.75" x14ac:dyDescent="0.25">
      <c r="A55" s="6" t="s">
        <v>4782</v>
      </c>
      <c r="B55" s="3" t="s">
        <v>4783</v>
      </c>
      <c r="C55" s="4">
        <v>6</v>
      </c>
      <c r="D55" s="5">
        <v>252</v>
      </c>
      <c r="E55" s="4" t="s">
        <v>4784</v>
      </c>
      <c r="F55" s="3" t="s">
        <v>5625</v>
      </c>
      <c r="G55" s="7" t="s">
        <v>6252</v>
      </c>
      <c r="H55" s="3" t="s">
        <v>5899</v>
      </c>
      <c r="I55" s="3" t="s">
        <v>6253</v>
      </c>
      <c r="J55" s="3" t="s">
        <v>5536</v>
      </c>
      <c r="K55" s="3" t="s">
        <v>4781</v>
      </c>
      <c r="L55" s="8" t="str">
        <f>HYPERLINK("http://slimages.macys.com/is/image/MCY/9608385 ")</f>
        <v xml:space="preserve">http://slimages.macys.com/is/image/MCY/9608385 </v>
      </c>
    </row>
    <row r="56" spans="1:12" ht="24.75" x14ac:dyDescent="0.25">
      <c r="A56" s="6" t="s">
        <v>1269</v>
      </c>
      <c r="B56" s="3" t="s">
        <v>1270</v>
      </c>
      <c r="C56" s="4">
        <v>1</v>
      </c>
      <c r="D56" s="5">
        <v>35</v>
      </c>
      <c r="E56" s="4" t="s">
        <v>1271</v>
      </c>
      <c r="F56" s="3" t="s">
        <v>5815</v>
      </c>
      <c r="G56" s="7" t="s">
        <v>5596</v>
      </c>
      <c r="H56" s="3" t="s">
        <v>4379</v>
      </c>
      <c r="I56" s="3" t="s">
        <v>5296</v>
      </c>
      <c r="J56" s="3" t="s">
        <v>5536</v>
      </c>
      <c r="K56" s="3" t="s">
        <v>5727</v>
      </c>
      <c r="L56" s="8" t="str">
        <f>HYPERLINK("http://slimages.macys.com/is/image/MCY/12741490 ")</f>
        <v xml:space="preserve">http://slimages.macys.com/is/image/MCY/12741490 </v>
      </c>
    </row>
    <row r="57" spans="1:12" ht="36.75" x14ac:dyDescent="0.25">
      <c r="A57" s="6" t="s">
        <v>1272</v>
      </c>
      <c r="B57" s="3" t="s">
        <v>1273</v>
      </c>
      <c r="C57" s="4">
        <v>3</v>
      </c>
      <c r="D57" s="5">
        <v>149.97</v>
      </c>
      <c r="E57" s="4" t="s">
        <v>1274</v>
      </c>
      <c r="F57" s="3" t="s">
        <v>2570</v>
      </c>
      <c r="G57" s="7" t="s">
        <v>5560</v>
      </c>
      <c r="H57" s="3" t="s">
        <v>4533</v>
      </c>
      <c r="I57" s="3" t="s">
        <v>1275</v>
      </c>
      <c r="J57" s="3" t="s">
        <v>5536</v>
      </c>
      <c r="K57" s="3" t="s">
        <v>1276</v>
      </c>
      <c r="L57" s="8" t="str">
        <f>HYPERLINK("http://slimages.macys.com/is/image/MCY/10200390 ")</f>
        <v xml:space="preserve">http://slimages.macys.com/is/image/MCY/10200390 </v>
      </c>
    </row>
    <row r="58" spans="1:12" ht="24.75" x14ac:dyDescent="0.25">
      <c r="A58" s="6" t="s">
        <v>1277</v>
      </c>
      <c r="B58" s="3" t="s">
        <v>1278</v>
      </c>
      <c r="C58" s="4">
        <v>1</v>
      </c>
      <c r="D58" s="5">
        <v>49</v>
      </c>
      <c r="E58" s="4" t="s">
        <v>1279</v>
      </c>
      <c r="F58" s="3" t="s">
        <v>5625</v>
      </c>
      <c r="G58" s="7" t="s">
        <v>5598</v>
      </c>
      <c r="H58" s="3" t="s">
        <v>1280</v>
      </c>
      <c r="I58" s="3" t="s">
        <v>1281</v>
      </c>
      <c r="J58" s="3" t="s">
        <v>5536</v>
      </c>
      <c r="K58" s="3" t="s">
        <v>1282</v>
      </c>
      <c r="L58" s="8" t="str">
        <f>HYPERLINK("http://slimages.macys.com/is/image/MCY/843987 ")</f>
        <v xml:space="preserve">http://slimages.macys.com/is/image/MCY/843987 </v>
      </c>
    </row>
    <row r="59" spans="1:12" ht="24.75" x14ac:dyDescent="0.25">
      <c r="A59" s="6" t="s">
        <v>1283</v>
      </c>
      <c r="B59" s="3" t="s">
        <v>1284</v>
      </c>
      <c r="C59" s="4">
        <v>1</v>
      </c>
      <c r="D59" s="5">
        <v>35</v>
      </c>
      <c r="E59" s="4" t="s">
        <v>1285</v>
      </c>
      <c r="F59" s="3" t="s">
        <v>5793</v>
      </c>
      <c r="G59" s="7" t="s">
        <v>5562</v>
      </c>
      <c r="H59" s="3" t="s">
        <v>4819</v>
      </c>
      <c r="I59" s="3" t="s">
        <v>4820</v>
      </c>
      <c r="J59" s="3" t="s">
        <v>5536</v>
      </c>
      <c r="K59" s="3" t="s">
        <v>5727</v>
      </c>
      <c r="L59" s="8" t="str">
        <f>HYPERLINK("http://slimages.macys.com/is/image/MCY/14725489 ")</f>
        <v xml:space="preserve">http://slimages.macys.com/is/image/MCY/14725489 </v>
      </c>
    </row>
    <row r="60" spans="1:12" ht="24.75" x14ac:dyDescent="0.25">
      <c r="A60" s="6" t="s">
        <v>5985</v>
      </c>
      <c r="B60" s="3" t="s">
        <v>5986</v>
      </c>
      <c r="C60" s="4">
        <v>1</v>
      </c>
      <c r="D60" s="5">
        <v>46.2</v>
      </c>
      <c r="E60" s="4" t="s">
        <v>5987</v>
      </c>
      <c r="F60" s="3" t="s">
        <v>5540</v>
      </c>
      <c r="G60" s="7" t="s">
        <v>5898</v>
      </c>
      <c r="H60" s="3" t="s">
        <v>5842</v>
      </c>
      <c r="I60" s="3" t="s">
        <v>5904</v>
      </c>
      <c r="J60" s="3" t="s">
        <v>5536</v>
      </c>
      <c r="K60" s="3" t="s">
        <v>5984</v>
      </c>
      <c r="L60" s="8" t="str">
        <f>HYPERLINK("http://slimages.macys.com/is/image/MCY/14312374 ")</f>
        <v xml:space="preserve">http://slimages.macys.com/is/image/MCY/14312374 </v>
      </c>
    </row>
    <row r="61" spans="1:12" ht="24.75" x14ac:dyDescent="0.25">
      <c r="A61" s="6" t="s">
        <v>5981</v>
      </c>
      <c r="B61" s="3" t="s">
        <v>5982</v>
      </c>
      <c r="C61" s="4">
        <v>1</v>
      </c>
      <c r="D61" s="5">
        <v>46.2</v>
      </c>
      <c r="E61" s="4" t="s">
        <v>5983</v>
      </c>
      <c r="F61" s="3" t="s">
        <v>5540</v>
      </c>
      <c r="G61" s="7" t="s">
        <v>5898</v>
      </c>
      <c r="H61" s="3" t="s">
        <v>5842</v>
      </c>
      <c r="I61" s="3" t="s">
        <v>5904</v>
      </c>
      <c r="J61" s="3" t="s">
        <v>5536</v>
      </c>
      <c r="K61" s="3" t="s">
        <v>5984</v>
      </c>
      <c r="L61" s="8" t="str">
        <f>HYPERLINK("http://slimages.macys.com/is/image/MCY/14312268 ")</f>
        <v xml:space="preserve">http://slimages.macys.com/is/image/MCY/14312268 </v>
      </c>
    </row>
    <row r="62" spans="1:12" x14ac:dyDescent="0.25">
      <c r="A62" s="6" t="s">
        <v>1286</v>
      </c>
      <c r="B62" s="3" t="s">
        <v>2985</v>
      </c>
      <c r="C62" s="4">
        <v>1</v>
      </c>
      <c r="D62" s="5">
        <v>59.5</v>
      </c>
      <c r="E62" s="4">
        <v>100068751</v>
      </c>
      <c r="F62" s="3" t="s">
        <v>5783</v>
      </c>
      <c r="G62" s="7" t="s">
        <v>5582</v>
      </c>
      <c r="H62" s="3" t="s">
        <v>5585</v>
      </c>
      <c r="I62" s="3" t="s">
        <v>5734</v>
      </c>
      <c r="J62" s="3"/>
      <c r="K62" s="3"/>
      <c r="L62" s="8" t="str">
        <f>HYPERLINK("http://slimages.macys.com/is/image/MCY/14807458 ")</f>
        <v xml:space="preserve">http://slimages.macys.com/is/image/MCY/14807458 </v>
      </c>
    </row>
    <row r="63" spans="1:12" x14ac:dyDescent="0.25">
      <c r="A63" s="6" t="s">
        <v>1287</v>
      </c>
      <c r="B63" s="3" t="s">
        <v>1288</v>
      </c>
      <c r="C63" s="4">
        <v>1</v>
      </c>
      <c r="D63" s="5">
        <v>24.99</v>
      </c>
      <c r="E63" s="4" t="s">
        <v>1289</v>
      </c>
      <c r="F63" s="3" t="s">
        <v>5540</v>
      </c>
      <c r="G63" s="7" t="s">
        <v>5596</v>
      </c>
      <c r="H63" s="3" t="s">
        <v>3841</v>
      </c>
      <c r="I63" s="3" t="s">
        <v>3842</v>
      </c>
      <c r="J63" s="3" t="s">
        <v>5536</v>
      </c>
      <c r="K63" s="3" t="s">
        <v>5727</v>
      </c>
      <c r="L63" s="8" t="str">
        <f>HYPERLINK("http://slimages.macys.com/is/image/MCY/15420856 ")</f>
        <v xml:space="preserve">http://slimages.macys.com/is/image/MCY/15420856 </v>
      </c>
    </row>
    <row r="64" spans="1:12" x14ac:dyDescent="0.25">
      <c r="A64" s="6" t="s">
        <v>1290</v>
      </c>
      <c r="B64" s="3" t="s">
        <v>6007</v>
      </c>
      <c r="C64" s="4">
        <v>1</v>
      </c>
      <c r="D64" s="5">
        <v>69.5</v>
      </c>
      <c r="E64" s="4">
        <v>100082811</v>
      </c>
      <c r="F64" s="3" t="s">
        <v>6010</v>
      </c>
      <c r="G64" s="7" t="s">
        <v>5533</v>
      </c>
      <c r="H64" s="3" t="s">
        <v>5585</v>
      </c>
      <c r="I64" s="3" t="s">
        <v>5734</v>
      </c>
      <c r="J64" s="3" t="s">
        <v>5536</v>
      </c>
      <c r="K64" s="3" t="s">
        <v>5594</v>
      </c>
      <c r="L64" s="8" t="str">
        <f>HYPERLINK("http://slimages.macys.com/is/image/MCY/15861495 ")</f>
        <v xml:space="preserve">http://slimages.macys.com/is/image/MCY/15861495 </v>
      </c>
    </row>
    <row r="65" spans="1:12" ht="24.75" x14ac:dyDescent="0.25">
      <c r="A65" s="6" t="s">
        <v>1291</v>
      </c>
      <c r="B65" s="3" t="s">
        <v>6014</v>
      </c>
      <c r="C65" s="4">
        <v>2</v>
      </c>
      <c r="D65" s="5">
        <v>84</v>
      </c>
      <c r="E65" s="4" t="s">
        <v>6015</v>
      </c>
      <c r="F65" s="3" t="s">
        <v>5540</v>
      </c>
      <c r="G65" s="7" t="s">
        <v>5533</v>
      </c>
      <c r="H65" s="3" t="s">
        <v>5842</v>
      </c>
      <c r="I65" s="3" t="s">
        <v>5904</v>
      </c>
      <c r="J65" s="3" t="s">
        <v>5536</v>
      </c>
      <c r="K65" s="3" t="s">
        <v>5844</v>
      </c>
      <c r="L65" s="8" t="str">
        <f>HYPERLINK("http://slimages.macys.com/is/image/MCY/14618805 ")</f>
        <v xml:space="preserve">http://slimages.macys.com/is/image/MCY/14618805 </v>
      </c>
    </row>
    <row r="66" spans="1:12" x14ac:dyDescent="0.25">
      <c r="A66" s="6" t="s">
        <v>4806</v>
      </c>
      <c r="B66" s="3" t="s">
        <v>4031</v>
      </c>
      <c r="C66" s="4">
        <v>1</v>
      </c>
      <c r="D66" s="5">
        <v>49.5</v>
      </c>
      <c r="E66" s="4">
        <v>100033772</v>
      </c>
      <c r="F66" s="3" t="s">
        <v>5754</v>
      </c>
      <c r="G66" s="7" t="s">
        <v>5562</v>
      </c>
      <c r="H66" s="3" t="s">
        <v>5585</v>
      </c>
      <c r="I66" s="3" t="s">
        <v>5734</v>
      </c>
      <c r="J66" s="3" t="s">
        <v>5536</v>
      </c>
      <c r="K66" s="3" t="s">
        <v>5594</v>
      </c>
      <c r="L66" s="8" t="str">
        <f>HYPERLINK("http://slimages.macys.com/is/image/MCY/10217036 ")</f>
        <v xml:space="preserve">http://slimages.macys.com/is/image/MCY/10217036 </v>
      </c>
    </row>
    <row r="67" spans="1:12" ht="24.75" x14ac:dyDescent="0.25">
      <c r="A67" s="6" t="s">
        <v>1292</v>
      </c>
      <c r="B67" s="3" t="s">
        <v>4808</v>
      </c>
      <c r="C67" s="4">
        <v>1</v>
      </c>
      <c r="D67" s="5">
        <v>29.99</v>
      </c>
      <c r="E67" s="4" t="s">
        <v>4809</v>
      </c>
      <c r="F67" s="3" t="s">
        <v>5803</v>
      </c>
      <c r="G67" s="7" t="s">
        <v>5760</v>
      </c>
      <c r="H67" s="3" t="s">
        <v>5722</v>
      </c>
      <c r="I67" s="3" t="s">
        <v>4810</v>
      </c>
      <c r="J67" s="3" t="s">
        <v>5536</v>
      </c>
      <c r="K67" s="3" t="s">
        <v>5549</v>
      </c>
      <c r="L67" s="8" t="str">
        <f>HYPERLINK("http://slimages.macys.com/is/image/MCY/15798264 ")</f>
        <v xml:space="preserve">http://slimages.macys.com/is/image/MCY/15798264 </v>
      </c>
    </row>
    <row r="68" spans="1:12" ht="24.75" x14ac:dyDescent="0.25">
      <c r="A68" s="6" t="s">
        <v>1293</v>
      </c>
      <c r="B68" s="3" t="s">
        <v>6034</v>
      </c>
      <c r="C68" s="4">
        <v>1</v>
      </c>
      <c r="D68" s="5">
        <v>36.99</v>
      </c>
      <c r="E68" s="4" t="s">
        <v>2208</v>
      </c>
      <c r="F68" s="3" t="s">
        <v>5566</v>
      </c>
      <c r="G68" s="7" t="s">
        <v>5830</v>
      </c>
      <c r="H68" s="3" t="s">
        <v>6026</v>
      </c>
      <c r="I68" s="3" t="s">
        <v>6027</v>
      </c>
      <c r="J68" s="3" t="s">
        <v>5536</v>
      </c>
      <c r="K68" s="3" t="s">
        <v>5641</v>
      </c>
      <c r="L68" s="8" t="str">
        <f>HYPERLINK("http://slimages.macys.com/is/image/MCY/14432806 ")</f>
        <v xml:space="preserve">http://slimages.macys.com/is/image/MCY/14432806 </v>
      </c>
    </row>
    <row r="69" spans="1:12" ht="24.75" x14ac:dyDescent="0.25">
      <c r="A69" s="6" t="s">
        <v>1294</v>
      </c>
      <c r="B69" s="3" t="s">
        <v>1295</v>
      </c>
      <c r="C69" s="4">
        <v>7</v>
      </c>
      <c r="D69" s="5">
        <v>315</v>
      </c>
      <c r="E69" s="4" t="s">
        <v>1296</v>
      </c>
      <c r="F69" s="3" t="s">
        <v>5532</v>
      </c>
      <c r="G69" s="7" t="s">
        <v>5562</v>
      </c>
      <c r="H69" s="3" t="s">
        <v>6019</v>
      </c>
      <c r="I69" s="3" t="s">
        <v>3918</v>
      </c>
      <c r="J69" s="3" t="s">
        <v>5536</v>
      </c>
      <c r="K69" s="3" t="s">
        <v>5594</v>
      </c>
      <c r="L69" s="8" t="str">
        <f>HYPERLINK("http://slimages.macys.com/is/image/MCY/16195587 ")</f>
        <v xml:space="preserve">http://slimages.macys.com/is/image/MCY/16195587 </v>
      </c>
    </row>
    <row r="70" spans="1:12" x14ac:dyDescent="0.25">
      <c r="A70" s="6" t="s">
        <v>1297</v>
      </c>
      <c r="B70" s="3" t="s">
        <v>1298</v>
      </c>
      <c r="C70" s="4">
        <v>1</v>
      </c>
      <c r="D70" s="5">
        <v>39.99</v>
      </c>
      <c r="E70" s="4" t="s">
        <v>1299</v>
      </c>
      <c r="F70" s="3" t="s">
        <v>5820</v>
      </c>
      <c r="G70" s="7" t="s">
        <v>5598</v>
      </c>
      <c r="H70" s="3" t="s">
        <v>5606</v>
      </c>
      <c r="I70" s="3" t="s">
        <v>5914</v>
      </c>
      <c r="J70" s="3" t="s">
        <v>5536</v>
      </c>
      <c r="K70" s="3" t="s">
        <v>5574</v>
      </c>
      <c r="L70" s="8" t="str">
        <f>HYPERLINK("http://slimages.macys.com/is/image/MCY/15495828 ")</f>
        <v xml:space="preserve">http://slimages.macys.com/is/image/MCY/15495828 </v>
      </c>
    </row>
    <row r="71" spans="1:12" x14ac:dyDescent="0.25">
      <c r="A71" s="6" t="s">
        <v>1300</v>
      </c>
      <c r="B71" s="3" t="s">
        <v>3936</v>
      </c>
      <c r="C71" s="4">
        <v>1</v>
      </c>
      <c r="D71" s="5">
        <v>39.99</v>
      </c>
      <c r="E71" s="4" t="s">
        <v>3937</v>
      </c>
      <c r="F71" s="3" t="s">
        <v>6983</v>
      </c>
      <c r="G71" s="7" t="s">
        <v>5598</v>
      </c>
      <c r="H71" s="3" t="s">
        <v>6065</v>
      </c>
      <c r="I71" s="3" t="s">
        <v>6066</v>
      </c>
      <c r="J71" s="3" t="s">
        <v>5536</v>
      </c>
      <c r="K71" s="3" t="s">
        <v>5549</v>
      </c>
      <c r="L71" s="8" t="str">
        <f>HYPERLINK("http://slimages.macys.com/is/image/MCY/15503262 ")</f>
        <v xml:space="preserve">http://slimages.macys.com/is/image/MCY/15503262 </v>
      </c>
    </row>
    <row r="72" spans="1:12" x14ac:dyDescent="0.25">
      <c r="A72" s="6" t="s">
        <v>1301</v>
      </c>
      <c r="B72" s="3" t="s">
        <v>6052</v>
      </c>
      <c r="C72" s="4">
        <v>1</v>
      </c>
      <c r="D72" s="5">
        <v>44.99</v>
      </c>
      <c r="E72" s="4" t="s">
        <v>6053</v>
      </c>
      <c r="F72" s="3" t="s">
        <v>5578</v>
      </c>
      <c r="G72" s="7" t="s">
        <v>5560</v>
      </c>
      <c r="H72" s="3" t="s">
        <v>5978</v>
      </c>
      <c r="I72" s="3" t="s">
        <v>5979</v>
      </c>
      <c r="J72" s="3" t="s">
        <v>5536</v>
      </c>
      <c r="K72" s="3" t="s">
        <v>5553</v>
      </c>
      <c r="L72" s="8" t="str">
        <f>HYPERLINK("http://slimages.macys.com/is/image/MCY/14335950 ")</f>
        <v xml:space="preserve">http://slimages.macys.com/is/image/MCY/14335950 </v>
      </c>
    </row>
    <row r="73" spans="1:12" x14ac:dyDescent="0.25">
      <c r="A73" s="6" t="s">
        <v>1302</v>
      </c>
      <c r="B73" s="3" t="s">
        <v>1298</v>
      </c>
      <c r="C73" s="4">
        <v>1</v>
      </c>
      <c r="D73" s="5">
        <v>39.99</v>
      </c>
      <c r="E73" s="4" t="s">
        <v>1299</v>
      </c>
      <c r="F73" s="3" t="s">
        <v>5754</v>
      </c>
      <c r="G73" s="7" t="s">
        <v>5562</v>
      </c>
      <c r="H73" s="3" t="s">
        <v>5606</v>
      </c>
      <c r="I73" s="3" t="s">
        <v>5914</v>
      </c>
      <c r="J73" s="3" t="s">
        <v>5536</v>
      </c>
      <c r="K73" s="3" t="s">
        <v>5574</v>
      </c>
      <c r="L73" s="8" t="str">
        <f>HYPERLINK("http://slimages.macys.com/is/image/MCY/15495828 ")</f>
        <v xml:space="preserve">http://slimages.macys.com/is/image/MCY/15495828 </v>
      </c>
    </row>
    <row r="74" spans="1:12" ht="24.75" x14ac:dyDescent="0.25">
      <c r="A74" s="6" t="s">
        <v>1303</v>
      </c>
      <c r="B74" s="3" t="s">
        <v>1304</v>
      </c>
      <c r="C74" s="4">
        <v>1</v>
      </c>
      <c r="D74" s="5">
        <v>24</v>
      </c>
      <c r="E74" s="4">
        <v>100019643</v>
      </c>
      <c r="F74" s="3" t="s">
        <v>5610</v>
      </c>
      <c r="G74" s="7"/>
      <c r="H74" s="3" t="s">
        <v>5825</v>
      </c>
      <c r="I74" s="3" t="s">
        <v>6673</v>
      </c>
      <c r="J74" s="3" t="s">
        <v>5536</v>
      </c>
      <c r="K74" s="3" t="s">
        <v>5553</v>
      </c>
      <c r="L74" s="8" t="str">
        <f>HYPERLINK("http://slimages.macys.com/is/image/MCY/8377225 ")</f>
        <v xml:space="preserve">http://slimages.macys.com/is/image/MCY/8377225 </v>
      </c>
    </row>
    <row r="75" spans="1:12" x14ac:dyDescent="0.25">
      <c r="A75" s="6" t="s">
        <v>1305</v>
      </c>
      <c r="B75" s="3" t="s">
        <v>923</v>
      </c>
      <c r="C75" s="4">
        <v>1</v>
      </c>
      <c r="D75" s="5">
        <v>37.99</v>
      </c>
      <c r="E75" s="4" t="s">
        <v>924</v>
      </c>
      <c r="F75" s="3" t="s">
        <v>5661</v>
      </c>
      <c r="G75" s="7" t="s">
        <v>5560</v>
      </c>
      <c r="H75" s="3" t="s">
        <v>6065</v>
      </c>
      <c r="I75" s="3" t="s">
        <v>6066</v>
      </c>
      <c r="J75" s="3" t="s">
        <v>5536</v>
      </c>
      <c r="K75" s="3" t="s">
        <v>5549</v>
      </c>
      <c r="L75" s="8" t="str">
        <f>HYPERLINK("http://slimages.macys.com/is/image/MCY/14424374 ")</f>
        <v xml:space="preserve">http://slimages.macys.com/is/image/MCY/14424374 </v>
      </c>
    </row>
    <row r="76" spans="1:12" ht="24.75" x14ac:dyDescent="0.25">
      <c r="A76" s="6" t="s">
        <v>1306</v>
      </c>
      <c r="B76" s="3" t="s">
        <v>1307</v>
      </c>
      <c r="C76" s="4">
        <v>1</v>
      </c>
      <c r="D76" s="5">
        <v>29</v>
      </c>
      <c r="E76" s="4" t="s">
        <v>1308</v>
      </c>
      <c r="F76" s="3" t="s">
        <v>5572</v>
      </c>
      <c r="G76" s="7" t="s">
        <v>5562</v>
      </c>
      <c r="H76" s="3" t="s">
        <v>5547</v>
      </c>
      <c r="I76" s="3" t="s">
        <v>5548</v>
      </c>
      <c r="J76" s="3" t="s">
        <v>5536</v>
      </c>
      <c r="K76" s="3" t="s">
        <v>5553</v>
      </c>
      <c r="L76" s="8" t="str">
        <f>HYPERLINK("http://slimages.macys.com/is/image/MCY/14804533 ")</f>
        <v xml:space="preserve">http://slimages.macys.com/is/image/MCY/14804533 </v>
      </c>
    </row>
    <row r="77" spans="1:12" ht="24.75" x14ac:dyDescent="0.25">
      <c r="A77" s="6" t="s">
        <v>6079</v>
      </c>
      <c r="B77" s="3" t="s">
        <v>6080</v>
      </c>
      <c r="C77" s="4">
        <v>4</v>
      </c>
      <c r="D77" s="5">
        <v>153.84</v>
      </c>
      <c r="E77" s="4" t="s">
        <v>6081</v>
      </c>
      <c r="F77" s="3" t="s">
        <v>5661</v>
      </c>
      <c r="G77" s="7" t="s">
        <v>5898</v>
      </c>
      <c r="H77" s="3" t="s">
        <v>5842</v>
      </c>
      <c r="I77" s="3" t="s">
        <v>6082</v>
      </c>
      <c r="J77" s="3" t="s">
        <v>5536</v>
      </c>
      <c r="K77" s="3" t="s">
        <v>5984</v>
      </c>
      <c r="L77" s="8" t="str">
        <f>HYPERLINK("http://slimages.macys.com/is/image/MCY/14313585 ")</f>
        <v xml:space="preserve">http://slimages.macys.com/is/image/MCY/14313585 </v>
      </c>
    </row>
    <row r="78" spans="1:12" x14ac:dyDescent="0.25">
      <c r="A78" s="6" t="s">
        <v>1309</v>
      </c>
      <c r="B78" s="3" t="s">
        <v>6087</v>
      </c>
      <c r="C78" s="4">
        <v>1</v>
      </c>
      <c r="D78" s="5">
        <v>65</v>
      </c>
      <c r="E78" s="4">
        <v>100082392</v>
      </c>
      <c r="F78" s="3" t="s">
        <v>5578</v>
      </c>
      <c r="G78" s="7" t="s">
        <v>5596</v>
      </c>
      <c r="H78" s="3" t="s">
        <v>5585</v>
      </c>
      <c r="I78" s="3" t="s">
        <v>5734</v>
      </c>
      <c r="J78" s="3" t="s">
        <v>5536</v>
      </c>
      <c r="K78" s="3" t="s">
        <v>6088</v>
      </c>
      <c r="L78" s="8" t="str">
        <f t="shared" ref="L78:L83" si="0">HYPERLINK("http://slimages.macys.com/is/image/MCY/15862234 ")</f>
        <v xml:space="preserve">http://slimages.macys.com/is/image/MCY/15862234 </v>
      </c>
    </row>
    <row r="79" spans="1:12" x14ac:dyDescent="0.25">
      <c r="A79" s="6" t="s">
        <v>1310</v>
      </c>
      <c r="B79" s="3" t="s">
        <v>6087</v>
      </c>
      <c r="C79" s="4">
        <v>2</v>
      </c>
      <c r="D79" s="5">
        <v>130</v>
      </c>
      <c r="E79" s="4">
        <v>100082392</v>
      </c>
      <c r="F79" s="3" t="s">
        <v>5578</v>
      </c>
      <c r="G79" s="7" t="s">
        <v>5562</v>
      </c>
      <c r="H79" s="3" t="s">
        <v>5585</v>
      </c>
      <c r="I79" s="3" t="s">
        <v>5734</v>
      </c>
      <c r="J79" s="3" t="s">
        <v>5536</v>
      </c>
      <c r="K79" s="3" t="s">
        <v>6088</v>
      </c>
      <c r="L79" s="8" t="str">
        <f t="shared" si="0"/>
        <v xml:space="preserve">http://slimages.macys.com/is/image/MCY/15862234 </v>
      </c>
    </row>
    <row r="80" spans="1:12" x14ac:dyDescent="0.25">
      <c r="A80" s="6" t="s">
        <v>1311</v>
      </c>
      <c r="B80" s="3" t="s">
        <v>6087</v>
      </c>
      <c r="C80" s="4">
        <v>2</v>
      </c>
      <c r="D80" s="5">
        <v>130</v>
      </c>
      <c r="E80" s="4">
        <v>100082392</v>
      </c>
      <c r="F80" s="3" t="s">
        <v>5578</v>
      </c>
      <c r="G80" s="7" t="s">
        <v>5533</v>
      </c>
      <c r="H80" s="3" t="s">
        <v>5585</v>
      </c>
      <c r="I80" s="3" t="s">
        <v>5734</v>
      </c>
      <c r="J80" s="3" t="s">
        <v>5536</v>
      </c>
      <c r="K80" s="3" t="s">
        <v>6088</v>
      </c>
      <c r="L80" s="8" t="str">
        <f t="shared" si="0"/>
        <v xml:space="preserve">http://slimages.macys.com/is/image/MCY/15862234 </v>
      </c>
    </row>
    <row r="81" spans="1:12" x14ac:dyDescent="0.25">
      <c r="A81" s="6" t="s">
        <v>1312</v>
      </c>
      <c r="B81" s="3" t="s">
        <v>6087</v>
      </c>
      <c r="C81" s="4">
        <v>1</v>
      </c>
      <c r="D81" s="5">
        <v>65</v>
      </c>
      <c r="E81" s="4">
        <v>100082392</v>
      </c>
      <c r="F81" s="3" t="s">
        <v>5977</v>
      </c>
      <c r="G81" s="7" t="s">
        <v>5533</v>
      </c>
      <c r="H81" s="3" t="s">
        <v>5585</v>
      </c>
      <c r="I81" s="3" t="s">
        <v>5734</v>
      </c>
      <c r="J81" s="3" t="s">
        <v>5536</v>
      </c>
      <c r="K81" s="3" t="s">
        <v>6088</v>
      </c>
      <c r="L81" s="8" t="str">
        <f t="shared" si="0"/>
        <v xml:space="preserve">http://slimages.macys.com/is/image/MCY/15862234 </v>
      </c>
    </row>
    <row r="82" spans="1:12" x14ac:dyDescent="0.25">
      <c r="A82" s="6" t="s">
        <v>6086</v>
      </c>
      <c r="B82" s="3" t="s">
        <v>6087</v>
      </c>
      <c r="C82" s="4">
        <v>1</v>
      </c>
      <c r="D82" s="5">
        <v>65</v>
      </c>
      <c r="E82" s="4">
        <v>100082392</v>
      </c>
      <c r="F82" s="3" t="s">
        <v>5977</v>
      </c>
      <c r="G82" s="7" t="s">
        <v>5596</v>
      </c>
      <c r="H82" s="3" t="s">
        <v>5585</v>
      </c>
      <c r="I82" s="3" t="s">
        <v>5734</v>
      </c>
      <c r="J82" s="3" t="s">
        <v>5536</v>
      </c>
      <c r="K82" s="3" t="s">
        <v>6088</v>
      </c>
      <c r="L82" s="8" t="str">
        <f t="shared" si="0"/>
        <v xml:space="preserve">http://slimages.macys.com/is/image/MCY/15862234 </v>
      </c>
    </row>
    <row r="83" spans="1:12" x14ac:dyDescent="0.25">
      <c r="A83" s="6" t="s">
        <v>1313</v>
      </c>
      <c r="B83" s="3" t="s">
        <v>6087</v>
      </c>
      <c r="C83" s="4">
        <v>1</v>
      </c>
      <c r="D83" s="5">
        <v>65</v>
      </c>
      <c r="E83" s="4">
        <v>100082392</v>
      </c>
      <c r="F83" s="3" t="s">
        <v>5578</v>
      </c>
      <c r="G83" s="7" t="s">
        <v>5560</v>
      </c>
      <c r="H83" s="3" t="s">
        <v>5585</v>
      </c>
      <c r="I83" s="3" t="s">
        <v>5734</v>
      </c>
      <c r="J83" s="3" t="s">
        <v>5536</v>
      </c>
      <c r="K83" s="3" t="s">
        <v>6088</v>
      </c>
      <c r="L83" s="8" t="str">
        <f t="shared" si="0"/>
        <v xml:space="preserve">http://slimages.macys.com/is/image/MCY/15862234 </v>
      </c>
    </row>
    <row r="84" spans="1:12" ht="24.75" x14ac:dyDescent="0.25">
      <c r="A84" s="6" t="s">
        <v>1314</v>
      </c>
      <c r="B84" s="3" t="s">
        <v>1315</v>
      </c>
      <c r="C84" s="4">
        <v>1</v>
      </c>
      <c r="D84" s="5">
        <v>40</v>
      </c>
      <c r="E84" s="4" t="s">
        <v>1316</v>
      </c>
      <c r="F84" s="3" t="s">
        <v>5964</v>
      </c>
      <c r="G84" s="7" t="s">
        <v>5838</v>
      </c>
      <c r="H84" s="3" t="s">
        <v>6019</v>
      </c>
      <c r="I84" s="3" t="s">
        <v>3918</v>
      </c>
      <c r="J84" s="3" t="s">
        <v>5536</v>
      </c>
      <c r="K84" s="3" t="s">
        <v>6021</v>
      </c>
      <c r="L84" s="8" t="str">
        <f>HYPERLINK("http://slimages.macys.com/is/image/MCY/15863300 ")</f>
        <v xml:space="preserve">http://slimages.macys.com/is/image/MCY/15863300 </v>
      </c>
    </row>
    <row r="85" spans="1:12" ht="24.75" x14ac:dyDescent="0.25">
      <c r="A85" s="6" t="s">
        <v>1317</v>
      </c>
      <c r="B85" s="3" t="s">
        <v>1315</v>
      </c>
      <c r="C85" s="4">
        <v>8</v>
      </c>
      <c r="D85" s="5">
        <v>320</v>
      </c>
      <c r="E85" s="4" t="s">
        <v>1316</v>
      </c>
      <c r="F85" s="3" t="s">
        <v>5964</v>
      </c>
      <c r="G85" s="7" t="s">
        <v>6500</v>
      </c>
      <c r="H85" s="3" t="s">
        <v>6019</v>
      </c>
      <c r="I85" s="3" t="s">
        <v>3918</v>
      </c>
      <c r="J85" s="3" t="s">
        <v>5536</v>
      </c>
      <c r="K85" s="3" t="s">
        <v>6021</v>
      </c>
      <c r="L85" s="8" t="str">
        <f>HYPERLINK("http://slimages.macys.com/is/image/MCY/15863300 ")</f>
        <v xml:space="preserve">http://slimages.macys.com/is/image/MCY/15863300 </v>
      </c>
    </row>
    <row r="86" spans="1:12" ht="24.75" x14ac:dyDescent="0.25">
      <c r="A86" s="6" t="s">
        <v>3988</v>
      </c>
      <c r="B86" s="3" t="s">
        <v>3989</v>
      </c>
      <c r="C86" s="4">
        <v>9</v>
      </c>
      <c r="D86" s="5">
        <v>450</v>
      </c>
      <c r="E86" s="4" t="s">
        <v>3990</v>
      </c>
      <c r="F86" s="3" t="s">
        <v>5540</v>
      </c>
      <c r="G86" s="7"/>
      <c r="H86" s="3" t="s">
        <v>6019</v>
      </c>
      <c r="I86" s="3" t="s">
        <v>3918</v>
      </c>
      <c r="J86" s="3" t="s">
        <v>5536</v>
      </c>
      <c r="K86" s="3" t="s">
        <v>5594</v>
      </c>
      <c r="L86" s="8" t="str">
        <f>HYPERLINK("http://slimages.macys.com/is/image/MCY/16191092 ")</f>
        <v xml:space="preserve">http://slimages.macys.com/is/image/MCY/16191092 </v>
      </c>
    </row>
    <row r="87" spans="1:12" ht="84.75" x14ac:dyDescent="0.25">
      <c r="A87" s="6" t="s">
        <v>6109</v>
      </c>
      <c r="B87" s="3" t="s">
        <v>6104</v>
      </c>
      <c r="C87" s="4">
        <v>1</v>
      </c>
      <c r="D87" s="5">
        <v>36.25</v>
      </c>
      <c r="E87" s="4" t="s">
        <v>6105</v>
      </c>
      <c r="F87" s="3" t="s">
        <v>5540</v>
      </c>
      <c r="G87" s="7" t="s">
        <v>5533</v>
      </c>
      <c r="H87" s="3" t="s">
        <v>5842</v>
      </c>
      <c r="I87" s="3" t="s">
        <v>5843</v>
      </c>
      <c r="J87" s="3" t="s">
        <v>5536</v>
      </c>
      <c r="K87" s="3" t="s">
        <v>6106</v>
      </c>
      <c r="L87" s="8" t="str">
        <f>HYPERLINK("http://slimages.macys.com/is/image/MCY/14506653 ")</f>
        <v xml:space="preserve">http://slimages.macys.com/is/image/MCY/14506653 </v>
      </c>
    </row>
    <row r="88" spans="1:12" ht="84.75" x14ac:dyDescent="0.25">
      <c r="A88" s="6" t="s">
        <v>6103</v>
      </c>
      <c r="B88" s="3" t="s">
        <v>6104</v>
      </c>
      <c r="C88" s="4">
        <v>34</v>
      </c>
      <c r="D88" s="5">
        <v>1232.5</v>
      </c>
      <c r="E88" s="4" t="s">
        <v>6105</v>
      </c>
      <c r="F88" s="3" t="s">
        <v>5540</v>
      </c>
      <c r="G88" s="7" t="s">
        <v>5596</v>
      </c>
      <c r="H88" s="3" t="s">
        <v>5842</v>
      </c>
      <c r="I88" s="3" t="s">
        <v>5843</v>
      </c>
      <c r="J88" s="3" t="s">
        <v>5536</v>
      </c>
      <c r="K88" s="3" t="s">
        <v>6106</v>
      </c>
      <c r="L88" s="8" t="str">
        <f>HYPERLINK("http://slimages.macys.com/is/image/MCY/14506653 ")</f>
        <v xml:space="preserve">http://slimages.macys.com/is/image/MCY/14506653 </v>
      </c>
    </row>
    <row r="89" spans="1:12" ht="84.75" x14ac:dyDescent="0.25">
      <c r="A89" s="6" t="s">
        <v>6108</v>
      </c>
      <c r="B89" s="3" t="s">
        <v>6104</v>
      </c>
      <c r="C89" s="4">
        <v>29</v>
      </c>
      <c r="D89" s="5">
        <v>1051.25</v>
      </c>
      <c r="E89" s="4" t="s">
        <v>6105</v>
      </c>
      <c r="F89" s="3" t="s">
        <v>5540</v>
      </c>
      <c r="G89" s="7" t="s">
        <v>5562</v>
      </c>
      <c r="H89" s="3" t="s">
        <v>5842</v>
      </c>
      <c r="I89" s="3" t="s">
        <v>5843</v>
      </c>
      <c r="J89" s="3" t="s">
        <v>5536</v>
      </c>
      <c r="K89" s="3" t="s">
        <v>6106</v>
      </c>
      <c r="L89" s="8" t="str">
        <f>HYPERLINK("http://slimages.macys.com/is/image/MCY/14506653 ")</f>
        <v xml:space="preserve">http://slimages.macys.com/is/image/MCY/14506653 </v>
      </c>
    </row>
    <row r="90" spans="1:12" ht="36.75" x14ac:dyDescent="0.25">
      <c r="A90" s="6" t="s">
        <v>6102</v>
      </c>
      <c r="B90" s="3" t="s">
        <v>6094</v>
      </c>
      <c r="C90" s="4">
        <v>1</v>
      </c>
      <c r="D90" s="5">
        <v>36.25</v>
      </c>
      <c r="E90" s="4" t="s">
        <v>6095</v>
      </c>
      <c r="F90" s="3" t="s">
        <v>5540</v>
      </c>
      <c r="G90" s="7" t="s">
        <v>5562</v>
      </c>
      <c r="H90" s="3" t="s">
        <v>5842</v>
      </c>
      <c r="I90" s="3" t="s">
        <v>5843</v>
      </c>
      <c r="J90" s="3" t="s">
        <v>5536</v>
      </c>
      <c r="K90" s="3" t="s">
        <v>6096</v>
      </c>
      <c r="L90" s="8" t="str">
        <f>HYPERLINK("http://slimages.macys.com/is/image/MCY/14507447 ")</f>
        <v xml:space="preserve">http://slimages.macys.com/is/image/MCY/14507447 </v>
      </c>
    </row>
    <row r="91" spans="1:12" ht="24.75" x14ac:dyDescent="0.25">
      <c r="A91" s="6" t="s">
        <v>4829</v>
      </c>
      <c r="B91" s="3" t="s">
        <v>4830</v>
      </c>
      <c r="C91" s="4">
        <v>1</v>
      </c>
      <c r="D91" s="5">
        <v>29</v>
      </c>
      <c r="E91" s="4" t="s">
        <v>4831</v>
      </c>
      <c r="F91" s="3" t="s">
        <v>5625</v>
      </c>
      <c r="G91" s="7" t="s">
        <v>6252</v>
      </c>
      <c r="H91" s="3" t="s">
        <v>5899</v>
      </c>
      <c r="I91" s="3" t="s">
        <v>6253</v>
      </c>
      <c r="J91" s="3" t="s">
        <v>5536</v>
      </c>
      <c r="K91" s="3" t="s">
        <v>4832</v>
      </c>
      <c r="L91" s="8" t="str">
        <f>HYPERLINK("http://slimages.macys.com/is/image/MCY/14602300 ")</f>
        <v xml:space="preserve">http://slimages.macys.com/is/image/MCY/14602300 </v>
      </c>
    </row>
    <row r="92" spans="1:12" ht="72.75" x14ac:dyDescent="0.25">
      <c r="A92" s="6" t="s">
        <v>6119</v>
      </c>
      <c r="B92" s="3" t="s">
        <v>6120</v>
      </c>
      <c r="C92" s="4">
        <v>1</v>
      </c>
      <c r="D92" s="5">
        <v>34.380000000000003</v>
      </c>
      <c r="E92" s="4" t="s">
        <v>6121</v>
      </c>
      <c r="F92" s="3" t="s">
        <v>5540</v>
      </c>
      <c r="G92" s="7" t="s">
        <v>5533</v>
      </c>
      <c r="H92" s="3" t="s">
        <v>5842</v>
      </c>
      <c r="I92" s="3" t="s">
        <v>5843</v>
      </c>
      <c r="J92" s="3" t="s">
        <v>5536</v>
      </c>
      <c r="K92" s="3" t="s">
        <v>6122</v>
      </c>
      <c r="L92" s="8" t="str">
        <f>HYPERLINK("http://slimages.macys.com/is/image/MCY/15251818 ")</f>
        <v xml:space="preserve">http://slimages.macys.com/is/image/MCY/15251818 </v>
      </c>
    </row>
    <row r="93" spans="1:12" ht="72.75" x14ac:dyDescent="0.25">
      <c r="A93" s="6" t="s">
        <v>6123</v>
      </c>
      <c r="B93" s="3" t="s">
        <v>6120</v>
      </c>
      <c r="C93" s="4">
        <v>2</v>
      </c>
      <c r="D93" s="5">
        <v>68.760000000000005</v>
      </c>
      <c r="E93" s="4" t="s">
        <v>6121</v>
      </c>
      <c r="F93" s="3" t="s">
        <v>5540</v>
      </c>
      <c r="G93" s="7" t="s">
        <v>5562</v>
      </c>
      <c r="H93" s="3" t="s">
        <v>5842</v>
      </c>
      <c r="I93" s="3" t="s">
        <v>5843</v>
      </c>
      <c r="J93" s="3" t="s">
        <v>5536</v>
      </c>
      <c r="K93" s="3" t="s">
        <v>6122</v>
      </c>
      <c r="L93" s="8" t="str">
        <f>HYPERLINK("http://slimages.macys.com/is/image/MCY/15251818 ")</f>
        <v xml:space="preserve">http://slimages.macys.com/is/image/MCY/15251818 </v>
      </c>
    </row>
    <row r="94" spans="1:12" ht="72.75" x14ac:dyDescent="0.25">
      <c r="A94" s="6" t="s">
        <v>6124</v>
      </c>
      <c r="B94" s="3" t="s">
        <v>6120</v>
      </c>
      <c r="C94" s="4">
        <v>7</v>
      </c>
      <c r="D94" s="5">
        <v>240.66</v>
      </c>
      <c r="E94" s="4" t="s">
        <v>6121</v>
      </c>
      <c r="F94" s="3" t="s">
        <v>5540</v>
      </c>
      <c r="G94" s="7" t="s">
        <v>5596</v>
      </c>
      <c r="H94" s="3" t="s">
        <v>5842</v>
      </c>
      <c r="I94" s="3" t="s">
        <v>5843</v>
      </c>
      <c r="J94" s="3" t="s">
        <v>5536</v>
      </c>
      <c r="K94" s="3" t="s">
        <v>6122</v>
      </c>
      <c r="L94" s="8" t="str">
        <f>HYPERLINK("http://slimages.macys.com/is/image/MCY/15251818 ")</f>
        <v xml:space="preserve">http://slimages.macys.com/is/image/MCY/15251818 </v>
      </c>
    </row>
    <row r="95" spans="1:12" ht="24.75" x14ac:dyDescent="0.25">
      <c r="A95" s="6" t="s">
        <v>3719</v>
      </c>
      <c r="B95" s="3" t="s">
        <v>2284</v>
      </c>
      <c r="C95" s="4">
        <v>6</v>
      </c>
      <c r="D95" s="5">
        <v>270</v>
      </c>
      <c r="E95" s="4">
        <v>100089635</v>
      </c>
      <c r="F95" s="3" t="s">
        <v>5556</v>
      </c>
      <c r="G95" s="7" t="s">
        <v>5596</v>
      </c>
      <c r="H95" s="3" t="s">
        <v>6019</v>
      </c>
      <c r="I95" s="3" t="s">
        <v>3918</v>
      </c>
      <c r="J95" s="3" t="s">
        <v>5536</v>
      </c>
      <c r="K95" s="3" t="s">
        <v>5549</v>
      </c>
      <c r="L95" s="8" t="str">
        <f>HYPERLINK("http://slimages.macys.com/is/image/MCY/16338215 ")</f>
        <v xml:space="preserve">http://slimages.macys.com/is/image/MCY/16338215 </v>
      </c>
    </row>
    <row r="96" spans="1:12" ht="24.75" x14ac:dyDescent="0.25">
      <c r="A96" s="6" t="s">
        <v>1318</v>
      </c>
      <c r="B96" s="3" t="s">
        <v>1319</v>
      </c>
      <c r="C96" s="4">
        <v>1</v>
      </c>
      <c r="D96" s="5">
        <v>28</v>
      </c>
      <c r="E96" s="4" t="s">
        <v>1320</v>
      </c>
      <c r="F96" s="3" t="s">
        <v>5783</v>
      </c>
      <c r="G96" s="7" t="s">
        <v>5898</v>
      </c>
      <c r="H96" s="3" t="s">
        <v>6280</v>
      </c>
      <c r="I96" s="3" t="s">
        <v>6288</v>
      </c>
      <c r="J96" s="3" t="s">
        <v>5536</v>
      </c>
      <c r="K96" s="3" t="s">
        <v>6303</v>
      </c>
      <c r="L96" s="8" t="str">
        <f>HYPERLINK("http://slimages.macys.com/is/image/MCY/1753302 ")</f>
        <v xml:space="preserve">http://slimages.macys.com/is/image/MCY/1753302 </v>
      </c>
    </row>
    <row r="97" spans="1:12" x14ac:dyDescent="0.25">
      <c r="A97" s="6" t="s">
        <v>1321</v>
      </c>
      <c r="B97" s="3" t="s">
        <v>1322</v>
      </c>
      <c r="C97" s="4">
        <v>1</v>
      </c>
      <c r="D97" s="5">
        <v>44.99</v>
      </c>
      <c r="E97" s="4" t="s">
        <v>1323</v>
      </c>
      <c r="F97" s="3" t="s">
        <v>5532</v>
      </c>
      <c r="G97" s="7" t="s">
        <v>5562</v>
      </c>
      <c r="H97" s="3" t="s">
        <v>5978</v>
      </c>
      <c r="I97" s="3" t="s">
        <v>5991</v>
      </c>
      <c r="J97" s="3" t="s">
        <v>5536</v>
      </c>
      <c r="K97" s="3" t="s">
        <v>5992</v>
      </c>
      <c r="L97" s="8" t="str">
        <f>HYPERLINK("http://slimages.macys.com/is/image/MCY/15899669 ")</f>
        <v xml:space="preserve">http://slimages.macys.com/is/image/MCY/15899669 </v>
      </c>
    </row>
    <row r="98" spans="1:12" ht="24.75" x14ac:dyDescent="0.25">
      <c r="A98" s="6" t="s">
        <v>1324</v>
      </c>
      <c r="B98" s="3" t="s">
        <v>6186</v>
      </c>
      <c r="C98" s="4">
        <v>1</v>
      </c>
      <c r="D98" s="5">
        <v>39.99</v>
      </c>
      <c r="E98" s="4" t="s">
        <v>6187</v>
      </c>
      <c r="F98" s="3" t="s">
        <v>5532</v>
      </c>
      <c r="G98" s="7" t="s">
        <v>5598</v>
      </c>
      <c r="H98" s="3" t="s">
        <v>6065</v>
      </c>
      <c r="I98" s="3" t="s">
        <v>6066</v>
      </c>
      <c r="J98" s="3" t="s">
        <v>5536</v>
      </c>
      <c r="K98" s="3" t="s">
        <v>5864</v>
      </c>
      <c r="L98" s="8" t="str">
        <f>HYPERLINK("http://slimages.macys.com/is/image/MCY/15554075 ")</f>
        <v xml:space="preserve">http://slimages.macys.com/is/image/MCY/15554075 </v>
      </c>
    </row>
    <row r="99" spans="1:12" x14ac:dyDescent="0.25">
      <c r="A99" s="6" t="s">
        <v>1325</v>
      </c>
      <c r="B99" s="3" t="s">
        <v>4852</v>
      </c>
      <c r="C99" s="4">
        <v>1</v>
      </c>
      <c r="D99" s="5">
        <v>39.99</v>
      </c>
      <c r="E99" s="4" t="s">
        <v>4853</v>
      </c>
      <c r="F99" s="3" t="s">
        <v>5625</v>
      </c>
      <c r="G99" s="7" t="s">
        <v>5562</v>
      </c>
      <c r="H99" s="3" t="s">
        <v>5978</v>
      </c>
      <c r="I99" s="3" t="s">
        <v>5979</v>
      </c>
      <c r="J99" s="3" t="s">
        <v>5536</v>
      </c>
      <c r="K99" s="3" t="s">
        <v>5594</v>
      </c>
      <c r="L99" s="8" t="str">
        <f>HYPERLINK("http://slimages.macys.com/is/image/MCY/14797545 ")</f>
        <v xml:space="preserve">http://slimages.macys.com/is/image/MCY/14797545 </v>
      </c>
    </row>
    <row r="100" spans="1:12" x14ac:dyDescent="0.25">
      <c r="A100" s="6" t="s">
        <v>1326</v>
      </c>
      <c r="B100" s="3" t="s">
        <v>1327</v>
      </c>
      <c r="C100" s="4">
        <v>1</v>
      </c>
      <c r="D100" s="5">
        <v>59.5</v>
      </c>
      <c r="E100" s="4">
        <v>100072676</v>
      </c>
      <c r="F100" s="3" t="s">
        <v>5625</v>
      </c>
      <c r="G100" s="7" t="s">
        <v>5598</v>
      </c>
      <c r="H100" s="3" t="s">
        <v>5585</v>
      </c>
      <c r="I100" s="3" t="s">
        <v>5586</v>
      </c>
      <c r="J100" s="3" t="s">
        <v>5536</v>
      </c>
      <c r="K100" s="3" t="s">
        <v>5549</v>
      </c>
      <c r="L100" s="8" t="str">
        <f>HYPERLINK("http://slimages.macys.com/is/image/MCY/13846571 ")</f>
        <v xml:space="preserve">http://slimages.macys.com/is/image/MCY/13846571 </v>
      </c>
    </row>
    <row r="101" spans="1:12" x14ac:dyDescent="0.25">
      <c r="A101" s="6" t="s">
        <v>1328</v>
      </c>
      <c r="B101" s="3" t="s">
        <v>6193</v>
      </c>
      <c r="C101" s="4">
        <v>1</v>
      </c>
      <c r="D101" s="5">
        <v>34.99</v>
      </c>
      <c r="E101" s="4" t="s">
        <v>6194</v>
      </c>
      <c r="F101" s="3" t="s">
        <v>5532</v>
      </c>
      <c r="G101" s="7" t="s">
        <v>5682</v>
      </c>
      <c r="H101" s="3" t="s">
        <v>6065</v>
      </c>
      <c r="I101" s="3" t="s">
        <v>6066</v>
      </c>
      <c r="J101" s="3" t="s">
        <v>5536</v>
      </c>
      <c r="K101" s="3" t="s">
        <v>6021</v>
      </c>
      <c r="L101" s="8" t="str">
        <f>HYPERLINK("http://slimages.macys.com/is/image/MCY/14889839 ")</f>
        <v xml:space="preserve">http://slimages.macys.com/is/image/MCY/14889839 </v>
      </c>
    </row>
    <row r="102" spans="1:12" ht="24.75" x14ac:dyDescent="0.25">
      <c r="A102" s="6" t="s">
        <v>1329</v>
      </c>
      <c r="B102" s="3" t="s">
        <v>1330</v>
      </c>
      <c r="C102" s="4">
        <v>7</v>
      </c>
      <c r="D102" s="5">
        <v>315</v>
      </c>
      <c r="E102" s="4" t="s">
        <v>1331</v>
      </c>
      <c r="F102" s="3" t="s">
        <v>5540</v>
      </c>
      <c r="G102" s="7" t="s">
        <v>5533</v>
      </c>
      <c r="H102" s="3" t="s">
        <v>6019</v>
      </c>
      <c r="I102" s="3" t="s">
        <v>3918</v>
      </c>
      <c r="J102" s="3" t="s">
        <v>5536</v>
      </c>
      <c r="K102" s="3" t="s">
        <v>5574</v>
      </c>
      <c r="L102" s="8" t="str">
        <f>HYPERLINK("http://slimages.macys.com/is/image/MCY/16195604 ")</f>
        <v xml:space="preserve">http://slimages.macys.com/is/image/MCY/16195604 </v>
      </c>
    </row>
    <row r="103" spans="1:12" ht="24.75" x14ac:dyDescent="0.25">
      <c r="A103" s="6" t="s">
        <v>1332</v>
      </c>
      <c r="B103" s="3" t="s">
        <v>1330</v>
      </c>
      <c r="C103" s="4">
        <v>4</v>
      </c>
      <c r="D103" s="5">
        <v>180</v>
      </c>
      <c r="E103" s="4" t="s">
        <v>1331</v>
      </c>
      <c r="F103" s="3" t="s">
        <v>7010</v>
      </c>
      <c r="G103" s="7" t="s">
        <v>5562</v>
      </c>
      <c r="H103" s="3" t="s">
        <v>6019</v>
      </c>
      <c r="I103" s="3" t="s">
        <v>3918</v>
      </c>
      <c r="J103" s="3" t="s">
        <v>5536</v>
      </c>
      <c r="K103" s="3" t="s">
        <v>5574</v>
      </c>
      <c r="L103" s="8" t="str">
        <f>HYPERLINK("http://slimages.macys.com/is/image/MCY/16195604 ")</f>
        <v xml:space="preserve">http://slimages.macys.com/is/image/MCY/16195604 </v>
      </c>
    </row>
    <row r="104" spans="1:12" x14ac:dyDescent="0.25">
      <c r="A104" s="6" t="s">
        <v>1333</v>
      </c>
      <c r="B104" s="3" t="s">
        <v>3143</v>
      </c>
      <c r="C104" s="4">
        <v>1</v>
      </c>
      <c r="D104" s="5">
        <v>49.5</v>
      </c>
      <c r="E104" s="4">
        <v>100038511</v>
      </c>
      <c r="F104" s="3" t="s">
        <v>5783</v>
      </c>
      <c r="G104" s="7" t="s">
        <v>5533</v>
      </c>
      <c r="H104" s="3" t="s">
        <v>5585</v>
      </c>
      <c r="I104" s="3" t="s">
        <v>5734</v>
      </c>
      <c r="J104" s="3" t="s">
        <v>5536</v>
      </c>
      <c r="K104" s="3" t="s">
        <v>5594</v>
      </c>
      <c r="L104" s="8" t="str">
        <f>HYPERLINK("http://slimages.macys.com/is/image/MCY/11231649 ")</f>
        <v xml:space="preserve">http://slimages.macys.com/is/image/MCY/11231649 </v>
      </c>
    </row>
    <row r="105" spans="1:12" ht="24.75" x14ac:dyDescent="0.25">
      <c r="A105" s="6" t="s">
        <v>6209</v>
      </c>
      <c r="B105" s="3" t="s">
        <v>6199</v>
      </c>
      <c r="C105" s="4">
        <v>2</v>
      </c>
      <c r="D105" s="5">
        <v>60</v>
      </c>
      <c r="E105" s="4" t="s">
        <v>6200</v>
      </c>
      <c r="F105" s="3" t="s">
        <v>5540</v>
      </c>
      <c r="G105" s="7" t="s">
        <v>5562</v>
      </c>
      <c r="H105" s="3" t="s">
        <v>5842</v>
      </c>
      <c r="I105" s="3" t="s">
        <v>5843</v>
      </c>
      <c r="J105" s="3" t="s">
        <v>5536</v>
      </c>
      <c r="K105" s="3" t="s">
        <v>5727</v>
      </c>
      <c r="L105" s="8" t="str">
        <f>HYPERLINK("http://slimages.macys.com/is/image/MCY/14506440 ")</f>
        <v xml:space="preserve">http://slimages.macys.com/is/image/MCY/14506440 </v>
      </c>
    </row>
    <row r="106" spans="1:12" ht="24.75" x14ac:dyDescent="0.25">
      <c r="A106" s="6" t="s">
        <v>6210</v>
      </c>
      <c r="B106" s="3" t="s">
        <v>6199</v>
      </c>
      <c r="C106" s="4">
        <v>1</v>
      </c>
      <c r="D106" s="5">
        <v>30</v>
      </c>
      <c r="E106" s="4" t="s">
        <v>6200</v>
      </c>
      <c r="F106" s="3" t="s">
        <v>5540</v>
      </c>
      <c r="G106" s="7" t="s">
        <v>5533</v>
      </c>
      <c r="H106" s="3" t="s">
        <v>5842</v>
      </c>
      <c r="I106" s="3" t="s">
        <v>5843</v>
      </c>
      <c r="J106" s="3" t="s">
        <v>5536</v>
      </c>
      <c r="K106" s="3" t="s">
        <v>5727</v>
      </c>
      <c r="L106" s="8" t="str">
        <f>HYPERLINK("http://slimages.macys.com/is/image/MCY/14506440 ")</f>
        <v xml:space="preserve">http://slimages.macys.com/is/image/MCY/14506440 </v>
      </c>
    </row>
    <row r="107" spans="1:12" ht="24.75" x14ac:dyDescent="0.25">
      <c r="A107" s="6" t="s">
        <v>1334</v>
      </c>
      <c r="B107" s="3" t="s">
        <v>2337</v>
      </c>
      <c r="C107" s="4">
        <v>6</v>
      </c>
      <c r="D107" s="5">
        <v>270</v>
      </c>
      <c r="E107" s="4" t="s">
        <v>2338</v>
      </c>
      <c r="F107" s="3" t="s">
        <v>5540</v>
      </c>
      <c r="G107" s="7" t="s">
        <v>5596</v>
      </c>
      <c r="H107" s="3" t="s">
        <v>6019</v>
      </c>
      <c r="I107" s="3" t="s">
        <v>3918</v>
      </c>
      <c r="J107" s="3" t="s">
        <v>5536</v>
      </c>
      <c r="K107" s="3" t="s">
        <v>5594</v>
      </c>
      <c r="L107" s="8" t="str">
        <f>HYPERLINK("http://slimages.macys.com/is/image/MCY/16191425 ")</f>
        <v xml:space="preserve">http://slimages.macys.com/is/image/MCY/16191425 </v>
      </c>
    </row>
    <row r="108" spans="1:12" x14ac:dyDescent="0.25">
      <c r="A108" s="6" t="s">
        <v>1335</v>
      </c>
      <c r="B108" s="3" t="s">
        <v>6223</v>
      </c>
      <c r="C108" s="4">
        <v>1</v>
      </c>
      <c r="D108" s="5">
        <v>39.99</v>
      </c>
      <c r="E108" s="4" t="s">
        <v>6224</v>
      </c>
      <c r="F108" s="3" t="s">
        <v>5578</v>
      </c>
      <c r="G108" s="7" t="s">
        <v>5562</v>
      </c>
      <c r="H108" s="3" t="s">
        <v>5978</v>
      </c>
      <c r="I108" s="3" t="s">
        <v>5979</v>
      </c>
      <c r="J108" s="3" t="s">
        <v>5536</v>
      </c>
      <c r="K108" s="3" t="s">
        <v>5574</v>
      </c>
      <c r="L108" s="8" t="str">
        <f>HYPERLINK("http://slimages.macys.com/is/image/MCY/13830987 ")</f>
        <v xml:space="preserve">http://slimages.macys.com/is/image/MCY/13830987 </v>
      </c>
    </row>
    <row r="109" spans="1:12" ht="24.75" x14ac:dyDescent="0.25">
      <c r="A109" s="6" t="s">
        <v>6229</v>
      </c>
      <c r="B109" s="3" t="s">
        <v>6226</v>
      </c>
      <c r="C109" s="4">
        <v>1</v>
      </c>
      <c r="D109" s="5">
        <v>30.13</v>
      </c>
      <c r="E109" s="4" t="s">
        <v>6227</v>
      </c>
      <c r="F109" s="3" t="s">
        <v>5540</v>
      </c>
      <c r="G109" s="7" t="s">
        <v>5596</v>
      </c>
      <c r="H109" s="3" t="s">
        <v>5842</v>
      </c>
      <c r="I109" s="3" t="s">
        <v>5904</v>
      </c>
      <c r="J109" s="3" t="s">
        <v>5536</v>
      </c>
      <c r="K109" s="3" t="s">
        <v>6228</v>
      </c>
      <c r="L109" s="8" t="str">
        <f>HYPERLINK("http://slimages.macys.com/is/image/MCY/14618767 ")</f>
        <v xml:space="preserve">http://slimages.macys.com/is/image/MCY/14618767 </v>
      </c>
    </row>
    <row r="110" spans="1:12" ht="36.75" x14ac:dyDescent="0.25">
      <c r="A110" s="6" t="s">
        <v>6231</v>
      </c>
      <c r="B110" s="3" t="s">
        <v>6232</v>
      </c>
      <c r="C110" s="4">
        <v>1</v>
      </c>
      <c r="D110" s="5">
        <v>30.13</v>
      </c>
      <c r="E110" s="4" t="s">
        <v>6233</v>
      </c>
      <c r="F110" s="3" t="s">
        <v>5540</v>
      </c>
      <c r="G110" s="7" t="s">
        <v>5562</v>
      </c>
      <c r="H110" s="3" t="s">
        <v>5842</v>
      </c>
      <c r="I110" s="3" t="s">
        <v>5904</v>
      </c>
      <c r="J110" s="3" t="s">
        <v>5536</v>
      </c>
      <c r="K110" s="3" t="s">
        <v>6234</v>
      </c>
      <c r="L110" s="8" t="str">
        <f>HYPERLINK("http://slimages.macys.com/is/image/MCY/14618829 ")</f>
        <v xml:space="preserve">http://slimages.macys.com/is/image/MCY/14618829 </v>
      </c>
    </row>
    <row r="111" spans="1:12" ht="24.75" x14ac:dyDescent="0.25">
      <c r="A111" s="6" t="s">
        <v>6230</v>
      </c>
      <c r="B111" s="3" t="s">
        <v>6226</v>
      </c>
      <c r="C111" s="4">
        <v>4</v>
      </c>
      <c r="D111" s="5">
        <v>120.52</v>
      </c>
      <c r="E111" s="4" t="s">
        <v>6227</v>
      </c>
      <c r="F111" s="3" t="s">
        <v>5540</v>
      </c>
      <c r="G111" s="7" t="s">
        <v>5562</v>
      </c>
      <c r="H111" s="3" t="s">
        <v>5842</v>
      </c>
      <c r="I111" s="3" t="s">
        <v>5904</v>
      </c>
      <c r="J111" s="3" t="s">
        <v>5536</v>
      </c>
      <c r="K111" s="3" t="s">
        <v>6228</v>
      </c>
      <c r="L111" s="8" t="str">
        <f>HYPERLINK("http://slimages.macys.com/is/image/MCY/14618767 ")</f>
        <v xml:space="preserve">http://slimages.macys.com/is/image/MCY/14618767 </v>
      </c>
    </row>
    <row r="112" spans="1:12" ht="36.75" x14ac:dyDescent="0.25">
      <c r="A112" s="6" t="s">
        <v>6235</v>
      </c>
      <c r="B112" s="3" t="s">
        <v>6232</v>
      </c>
      <c r="C112" s="4">
        <v>1</v>
      </c>
      <c r="D112" s="5">
        <v>30.13</v>
      </c>
      <c r="E112" s="4" t="s">
        <v>6233</v>
      </c>
      <c r="F112" s="3" t="s">
        <v>5540</v>
      </c>
      <c r="G112" s="7" t="s">
        <v>5533</v>
      </c>
      <c r="H112" s="3" t="s">
        <v>5842</v>
      </c>
      <c r="I112" s="3" t="s">
        <v>5904</v>
      </c>
      <c r="J112" s="3" t="s">
        <v>5536</v>
      </c>
      <c r="K112" s="3" t="s">
        <v>6234</v>
      </c>
      <c r="L112" s="8" t="str">
        <f>HYPERLINK("http://slimages.macys.com/is/image/MCY/14618829 ")</f>
        <v xml:space="preserve">http://slimages.macys.com/is/image/MCY/14618829 </v>
      </c>
    </row>
    <row r="113" spans="1:12" x14ac:dyDescent="0.25">
      <c r="A113" s="6" t="s">
        <v>1336</v>
      </c>
      <c r="B113" s="3" t="s">
        <v>1337</v>
      </c>
      <c r="C113" s="4">
        <v>1</v>
      </c>
      <c r="D113" s="5">
        <v>29.99</v>
      </c>
      <c r="E113" s="4" t="s">
        <v>1338</v>
      </c>
      <c r="F113" s="3" t="s">
        <v>5783</v>
      </c>
      <c r="G113" s="7" t="s">
        <v>5560</v>
      </c>
      <c r="H113" s="3" t="s">
        <v>5978</v>
      </c>
      <c r="I113" s="3" t="s">
        <v>5991</v>
      </c>
      <c r="J113" s="3" t="s">
        <v>5536</v>
      </c>
      <c r="K113" s="3" t="s">
        <v>6218</v>
      </c>
      <c r="L113" s="8" t="str">
        <f>HYPERLINK("http://slimages.macys.com/is/image/MCY/9591280 ")</f>
        <v xml:space="preserve">http://slimages.macys.com/is/image/MCY/9591280 </v>
      </c>
    </row>
    <row r="114" spans="1:12" ht="24.75" x14ac:dyDescent="0.25">
      <c r="A114" s="6" t="s">
        <v>1339</v>
      </c>
      <c r="B114" s="3" t="s">
        <v>6244</v>
      </c>
      <c r="C114" s="4">
        <v>1</v>
      </c>
      <c r="D114" s="5">
        <v>39.99</v>
      </c>
      <c r="E114" s="4" t="s">
        <v>6245</v>
      </c>
      <c r="F114" s="3" t="s">
        <v>5532</v>
      </c>
      <c r="G114" s="7" t="s">
        <v>5582</v>
      </c>
      <c r="H114" s="3" t="s">
        <v>6065</v>
      </c>
      <c r="I114" s="3" t="s">
        <v>6066</v>
      </c>
      <c r="J114" s="3" t="s">
        <v>5536</v>
      </c>
      <c r="K114" s="3" t="s">
        <v>6242</v>
      </c>
      <c r="L114" s="8" t="str">
        <f>HYPERLINK("http://slimages.macys.com/is/image/MCY/11519449 ")</f>
        <v xml:space="preserve">http://slimages.macys.com/is/image/MCY/11519449 </v>
      </c>
    </row>
    <row r="115" spans="1:12" x14ac:dyDescent="0.25">
      <c r="A115" s="6" t="s">
        <v>1340</v>
      </c>
      <c r="B115" s="3" t="s">
        <v>1341</v>
      </c>
      <c r="C115" s="4">
        <v>1</v>
      </c>
      <c r="D115" s="5">
        <v>39.99</v>
      </c>
      <c r="E115" s="4">
        <v>100001377</v>
      </c>
      <c r="F115" s="3" t="s">
        <v>5977</v>
      </c>
      <c r="G115" s="7" t="s">
        <v>5533</v>
      </c>
      <c r="H115" s="3" t="s">
        <v>6065</v>
      </c>
      <c r="I115" s="3" t="s">
        <v>6066</v>
      </c>
      <c r="J115" s="3" t="s">
        <v>5536</v>
      </c>
      <c r="K115" s="3" t="s">
        <v>5574</v>
      </c>
      <c r="L115" s="8" t="str">
        <f>HYPERLINK("http://slimages.macys.com/is/image/MCY/9826328 ")</f>
        <v xml:space="preserve">http://slimages.macys.com/is/image/MCY/9826328 </v>
      </c>
    </row>
    <row r="116" spans="1:12" ht="24.75" x14ac:dyDescent="0.25">
      <c r="A116" s="6" t="s">
        <v>4893</v>
      </c>
      <c r="B116" s="3" t="s">
        <v>4887</v>
      </c>
      <c r="C116" s="4">
        <v>1</v>
      </c>
      <c r="D116" s="5">
        <v>27.99</v>
      </c>
      <c r="E116" s="4" t="s">
        <v>4888</v>
      </c>
      <c r="F116" s="3" t="s">
        <v>6010</v>
      </c>
      <c r="G116" s="7"/>
      <c r="H116" s="3" t="s">
        <v>6280</v>
      </c>
      <c r="I116" s="3" t="s">
        <v>4889</v>
      </c>
      <c r="J116" s="3" t="s">
        <v>5536</v>
      </c>
      <c r="K116" s="3" t="s">
        <v>6303</v>
      </c>
      <c r="L116" s="8" t="str">
        <f>HYPERLINK("http://slimages.macys.com/is/image/MCY/15954109 ")</f>
        <v xml:space="preserve">http://slimages.macys.com/is/image/MCY/15954109 </v>
      </c>
    </row>
    <row r="117" spans="1:12" ht="24.75" x14ac:dyDescent="0.25">
      <c r="A117" s="6" t="s">
        <v>1342</v>
      </c>
      <c r="B117" s="3" t="s">
        <v>4908</v>
      </c>
      <c r="C117" s="4">
        <v>1</v>
      </c>
      <c r="D117" s="5">
        <v>27.99</v>
      </c>
      <c r="E117" s="4" t="s">
        <v>4909</v>
      </c>
      <c r="F117" s="3" t="s">
        <v>6010</v>
      </c>
      <c r="G117" s="7"/>
      <c r="H117" s="3" t="s">
        <v>6280</v>
      </c>
      <c r="I117" s="3" t="s">
        <v>4889</v>
      </c>
      <c r="J117" s="3" t="s">
        <v>5536</v>
      </c>
      <c r="K117" s="3" t="s">
        <v>6316</v>
      </c>
      <c r="L117" s="8" t="str">
        <f>HYPERLINK("http://slimages.macys.com/is/image/MCY/15954252 ")</f>
        <v xml:space="preserve">http://slimages.macys.com/is/image/MCY/15954252 </v>
      </c>
    </row>
    <row r="118" spans="1:12" x14ac:dyDescent="0.25">
      <c r="A118" s="6" t="s">
        <v>4951</v>
      </c>
      <c r="B118" s="3" t="s">
        <v>4945</v>
      </c>
      <c r="C118" s="4">
        <v>1</v>
      </c>
      <c r="D118" s="5">
        <v>29.5</v>
      </c>
      <c r="E118" s="4">
        <v>100081871</v>
      </c>
      <c r="F118" s="3" t="s">
        <v>5783</v>
      </c>
      <c r="G118" s="7" t="s">
        <v>5533</v>
      </c>
      <c r="H118" s="3" t="s">
        <v>5585</v>
      </c>
      <c r="I118" s="3" t="s">
        <v>5734</v>
      </c>
      <c r="J118" s="3" t="s">
        <v>5536</v>
      </c>
      <c r="K118" s="3" t="s">
        <v>5574</v>
      </c>
      <c r="L118" s="8" t="str">
        <f>HYPERLINK("http://slimages.macys.com/is/image/MCY/15667304 ")</f>
        <v xml:space="preserve">http://slimages.macys.com/is/image/MCY/15667304 </v>
      </c>
    </row>
    <row r="119" spans="1:12" x14ac:dyDescent="0.25">
      <c r="A119" s="6" t="s">
        <v>1343</v>
      </c>
      <c r="B119" s="3" t="s">
        <v>6247</v>
      </c>
      <c r="C119" s="4">
        <v>2</v>
      </c>
      <c r="D119" s="5">
        <v>79.98</v>
      </c>
      <c r="E119" s="4" t="s">
        <v>6248</v>
      </c>
      <c r="F119" s="3" t="s">
        <v>5578</v>
      </c>
      <c r="G119" s="7" t="s">
        <v>5682</v>
      </c>
      <c r="H119" s="3" t="s">
        <v>6003</v>
      </c>
      <c r="I119" s="3" t="s">
        <v>6004</v>
      </c>
      <c r="J119" s="3" t="s">
        <v>5536</v>
      </c>
      <c r="K119" s="3" t="s">
        <v>6021</v>
      </c>
      <c r="L119" s="8" t="str">
        <f>HYPERLINK("http://slimages.macys.com/is/image/MCY/9265595 ")</f>
        <v xml:space="preserve">http://slimages.macys.com/is/image/MCY/9265595 </v>
      </c>
    </row>
    <row r="120" spans="1:12" ht="24.75" x14ac:dyDescent="0.25">
      <c r="A120" s="6" t="s">
        <v>6249</v>
      </c>
      <c r="B120" s="3" t="s">
        <v>6250</v>
      </c>
      <c r="C120" s="4">
        <v>2</v>
      </c>
      <c r="D120" s="5">
        <v>55.98</v>
      </c>
      <c r="E120" s="4" t="s">
        <v>6251</v>
      </c>
      <c r="F120" s="3" t="s">
        <v>5540</v>
      </c>
      <c r="G120" s="7" t="s">
        <v>6252</v>
      </c>
      <c r="H120" s="3" t="s">
        <v>5842</v>
      </c>
      <c r="I120" s="3" t="s">
        <v>6253</v>
      </c>
      <c r="J120" s="3" t="s">
        <v>5536</v>
      </c>
      <c r="K120" s="3" t="s">
        <v>6254</v>
      </c>
      <c r="L120" s="8" t="str">
        <f>HYPERLINK("http://slimages.macys.com/is/image/MCY/14370448 ")</f>
        <v xml:space="preserve">http://slimages.macys.com/is/image/MCY/14370448 </v>
      </c>
    </row>
    <row r="121" spans="1:12" ht="24.75" x14ac:dyDescent="0.25">
      <c r="A121" s="6" t="s">
        <v>1344</v>
      </c>
      <c r="B121" s="3" t="s">
        <v>1345</v>
      </c>
      <c r="C121" s="4">
        <v>1</v>
      </c>
      <c r="D121" s="5">
        <v>24</v>
      </c>
      <c r="E121" s="4">
        <v>100013800</v>
      </c>
      <c r="F121" s="3" t="s">
        <v>5661</v>
      </c>
      <c r="G121" s="7"/>
      <c r="H121" s="3" t="s">
        <v>5825</v>
      </c>
      <c r="I121" s="3" t="s">
        <v>6673</v>
      </c>
      <c r="J121" s="3" t="s">
        <v>5536</v>
      </c>
      <c r="K121" s="3" t="s">
        <v>5594</v>
      </c>
      <c r="L121" s="8" t="str">
        <f>HYPERLINK("http://slimages.macys.com/is/image/MCY/9509411 ")</f>
        <v xml:space="preserve">http://slimages.macys.com/is/image/MCY/9509411 </v>
      </c>
    </row>
    <row r="122" spans="1:12" ht="24.75" x14ac:dyDescent="0.25">
      <c r="A122" s="6" t="s">
        <v>1346</v>
      </c>
      <c r="B122" s="3" t="s">
        <v>1345</v>
      </c>
      <c r="C122" s="4">
        <v>1</v>
      </c>
      <c r="D122" s="5">
        <v>24</v>
      </c>
      <c r="E122" s="4">
        <v>100013800</v>
      </c>
      <c r="F122" s="3" t="s">
        <v>5661</v>
      </c>
      <c r="G122" s="7"/>
      <c r="H122" s="3" t="s">
        <v>5825</v>
      </c>
      <c r="I122" s="3" t="s">
        <v>6673</v>
      </c>
      <c r="J122" s="3" t="s">
        <v>5536</v>
      </c>
      <c r="K122" s="3" t="s">
        <v>5594</v>
      </c>
      <c r="L122" s="8" t="str">
        <f>HYPERLINK("http://slimages.macys.com/is/image/MCY/9509411 ")</f>
        <v xml:space="preserve">http://slimages.macys.com/is/image/MCY/9509411 </v>
      </c>
    </row>
    <row r="123" spans="1:12" ht="24.75" x14ac:dyDescent="0.25">
      <c r="A123" s="6" t="s">
        <v>1347</v>
      </c>
      <c r="B123" s="3" t="s">
        <v>1345</v>
      </c>
      <c r="C123" s="4">
        <v>1</v>
      </c>
      <c r="D123" s="5">
        <v>24</v>
      </c>
      <c r="E123" s="4">
        <v>100013800</v>
      </c>
      <c r="F123" s="3" t="s">
        <v>5661</v>
      </c>
      <c r="G123" s="7"/>
      <c r="H123" s="3" t="s">
        <v>5825</v>
      </c>
      <c r="I123" s="3" t="s">
        <v>6673</v>
      </c>
      <c r="J123" s="3" t="s">
        <v>5536</v>
      </c>
      <c r="K123" s="3" t="s">
        <v>5594</v>
      </c>
      <c r="L123" s="8" t="str">
        <f>HYPERLINK("http://slimages.macys.com/is/image/MCY/9509411 ")</f>
        <v xml:space="preserve">http://slimages.macys.com/is/image/MCY/9509411 </v>
      </c>
    </row>
    <row r="124" spans="1:12" ht="24.75" x14ac:dyDescent="0.25">
      <c r="A124" s="6" t="s">
        <v>1348</v>
      </c>
      <c r="B124" s="3" t="s">
        <v>1345</v>
      </c>
      <c r="C124" s="4">
        <v>1</v>
      </c>
      <c r="D124" s="5">
        <v>24</v>
      </c>
      <c r="E124" s="4">
        <v>100013800</v>
      </c>
      <c r="F124" s="3" t="s">
        <v>5661</v>
      </c>
      <c r="G124" s="7"/>
      <c r="H124" s="3" t="s">
        <v>5825</v>
      </c>
      <c r="I124" s="3" t="s">
        <v>6673</v>
      </c>
      <c r="J124" s="3" t="s">
        <v>5536</v>
      </c>
      <c r="K124" s="3" t="s">
        <v>5594</v>
      </c>
      <c r="L124" s="8" t="str">
        <f>HYPERLINK("http://slimages.macys.com/is/image/MCY/9509411 ")</f>
        <v xml:space="preserve">http://slimages.macys.com/is/image/MCY/9509411 </v>
      </c>
    </row>
    <row r="125" spans="1:12" x14ac:dyDescent="0.25">
      <c r="A125" s="6" t="s">
        <v>1349</v>
      </c>
      <c r="B125" s="3" t="s">
        <v>3172</v>
      </c>
      <c r="C125" s="4">
        <v>1</v>
      </c>
      <c r="D125" s="5">
        <v>29.99</v>
      </c>
      <c r="E125" s="4" t="s">
        <v>3173</v>
      </c>
      <c r="F125" s="3" t="s">
        <v>5783</v>
      </c>
      <c r="G125" s="7" t="s">
        <v>5596</v>
      </c>
      <c r="H125" s="3" t="s">
        <v>6065</v>
      </c>
      <c r="I125" s="3" t="s">
        <v>6066</v>
      </c>
      <c r="J125" s="3" t="s">
        <v>5536</v>
      </c>
      <c r="K125" s="3" t="s">
        <v>5549</v>
      </c>
      <c r="L125" s="8" t="str">
        <f>HYPERLINK("http://slimages.macys.com/is/image/MCY/15785126 ")</f>
        <v xml:space="preserve">http://slimages.macys.com/is/image/MCY/15785126 </v>
      </c>
    </row>
    <row r="126" spans="1:12" x14ac:dyDescent="0.25">
      <c r="A126" s="6" t="s">
        <v>1350</v>
      </c>
      <c r="B126" s="3" t="s">
        <v>3172</v>
      </c>
      <c r="C126" s="4">
        <v>1</v>
      </c>
      <c r="D126" s="5">
        <v>29.99</v>
      </c>
      <c r="E126" s="4" t="s">
        <v>3173</v>
      </c>
      <c r="F126" s="3" t="s">
        <v>5625</v>
      </c>
      <c r="G126" s="7" t="s">
        <v>5533</v>
      </c>
      <c r="H126" s="3" t="s">
        <v>6065</v>
      </c>
      <c r="I126" s="3" t="s">
        <v>6066</v>
      </c>
      <c r="J126" s="3" t="s">
        <v>5536</v>
      </c>
      <c r="K126" s="3" t="s">
        <v>5549</v>
      </c>
      <c r="L126" s="8" t="str">
        <f>HYPERLINK("http://slimages.macys.com/is/image/MCY/15785126 ")</f>
        <v xml:space="preserve">http://slimages.macys.com/is/image/MCY/15785126 </v>
      </c>
    </row>
    <row r="127" spans="1:12" x14ac:dyDescent="0.25">
      <c r="A127" s="6" t="s">
        <v>1351</v>
      </c>
      <c r="B127" s="3" t="s">
        <v>6269</v>
      </c>
      <c r="C127" s="4">
        <v>1</v>
      </c>
      <c r="D127" s="5">
        <v>39.99</v>
      </c>
      <c r="E127" s="4" t="s">
        <v>6270</v>
      </c>
      <c r="F127" s="3" t="s">
        <v>6271</v>
      </c>
      <c r="G127" s="7" t="s">
        <v>5533</v>
      </c>
      <c r="H127" s="3" t="s">
        <v>6065</v>
      </c>
      <c r="I127" s="3" t="s">
        <v>6066</v>
      </c>
      <c r="J127" s="3" t="s">
        <v>5536</v>
      </c>
      <c r="K127" s="3" t="s">
        <v>5594</v>
      </c>
      <c r="L127" s="8" t="str">
        <f>HYPERLINK("http://slimages.macys.com/is/image/MCY/15361335 ")</f>
        <v xml:space="preserve">http://slimages.macys.com/is/image/MCY/15361335 </v>
      </c>
    </row>
    <row r="128" spans="1:12" x14ac:dyDescent="0.25">
      <c r="A128" s="6" t="s">
        <v>6268</v>
      </c>
      <c r="B128" s="3" t="s">
        <v>6269</v>
      </c>
      <c r="C128" s="4">
        <v>1</v>
      </c>
      <c r="D128" s="5">
        <v>39.99</v>
      </c>
      <c r="E128" s="4" t="s">
        <v>6270</v>
      </c>
      <c r="F128" s="3" t="s">
        <v>6271</v>
      </c>
      <c r="G128" s="7" t="s">
        <v>5596</v>
      </c>
      <c r="H128" s="3" t="s">
        <v>6065</v>
      </c>
      <c r="I128" s="3" t="s">
        <v>6066</v>
      </c>
      <c r="J128" s="3" t="s">
        <v>5536</v>
      </c>
      <c r="K128" s="3" t="s">
        <v>5594</v>
      </c>
      <c r="L128" s="8" t="str">
        <f>HYPERLINK("http://slimages.macys.com/is/image/MCY/15361335 ")</f>
        <v xml:space="preserve">http://slimages.macys.com/is/image/MCY/15361335 </v>
      </c>
    </row>
    <row r="129" spans="1:12" x14ac:dyDescent="0.25">
      <c r="A129" s="6" t="s">
        <v>1352</v>
      </c>
      <c r="B129" s="3" t="s">
        <v>4955</v>
      </c>
      <c r="C129" s="4">
        <v>1</v>
      </c>
      <c r="D129" s="5">
        <v>39.99</v>
      </c>
      <c r="E129" s="4" t="s">
        <v>4956</v>
      </c>
      <c r="F129" s="3" t="s">
        <v>5745</v>
      </c>
      <c r="G129" s="7" t="s">
        <v>5533</v>
      </c>
      <c r="H129" s="3" t="s">
        <v>5978</v>
      </c>
      <c r="I129" s="3" t="s">
        <v>5979</v>
      </c>
      <c r="J129" s="3" t="s">
        <v>5536</v>
      </c>
      <c r="K129" s="3" t="s">
        <v>5574</v>
      </c>
      <c r="L129" s="8" t="str">
        <f>HYPERLINK("http://slimages.macys.com/is/image/MCY/13830987 ")</f>
        <v xml:space="preserve">http://slimages.macys.com/is/image/MCY/13830987 </v>
      </c>
    </row>
    <row r="130" spans="1:12" ht="24.75" x14ac:dyDescent="0.25">
      <c r="A130" s="6" t="s">
        <v>4173</v>
      </c>
      <c r="B130" s="3" t="s">
        <v>4174</v>
      </c>
      <c r="C130" s="4">
        <v>1</v>
      </c>
      <c r="D130" s="5">
        <v>28</v>
      </c>
      <c r="E130" s="4" t="s">
        <v>4175</v>
      </c>
      <c r="F130" s="3" t="s">
        <v>5532</v>
      </c>
      <c r="G130" s="7" t="s">
        <v>5898</v>
      </c>
      <c r="H130" s="3" t="s">
        <v>6280</v>
      </c>
      <c r="I130" s="3" t="s">
        <v>6312</v>
      </c>
      <c r="J130" s="3" t="s">
        <v>5536</v>
      </c>
      <c r="K130" s="3" t="s">
        <v>6295</v>
      </c>
      <c r="L130" s="8" t="str">
        <f>HYPERLINK("http://slimages.macys.com/is/image/MCY/15882728 ")</f>
        <v xml:space="preserve">http://slimages.macys.com/is/image/MCY/15882728 </v>
      </c>
    </row>
    <row r="131" spans="1:12" ht="24.75" x14ac:dyDescent="0.25">
      <c r="A131" s="6" t="s">
        <v>4220</v>
      </c>
      <c r="B131" s="3" t="s">
        <v>6315</v>
      </c>
      <c r="C131" s="4">
        <v>1</v>
      </c>
      <c r="D131" s="5">
        <v>28</v>
      </c>
      <c r="E131" s="4">
        <v>87994301</v>
      </c>
      <c r="F131" s="3" t="s">
        <v>6983</v>
      </c>
      <c r="G131" s="7" t="s">
        <v>5898</v>
      </c>
      <c r="H131" s="3" t="s">
        <v>6280</v>
      </c>
      <c r="I131" s="3" t="s">
        <v>6281</v>
      </c>
      <c r="J131" s="3" t="s">
        <v>5536</v>
      </c>
      <c r="K131" s="3" t="s">
        <v>6316</v>
      </c>
      <c r="L131" s="8" t="str">
        <f>HYPERLINK("http://slimages.macys.com/is/image/MCY/15883995 ")</f>
        <v xml:space="preserve">http://slimages.macys.com/is/image/MCY/15883995 </v>
      </c>
    </row>
    <row r="132" spans="1:12" ht="24.75" x14ac:dyDescent="0.25">
      <c r="A132" s="6" t="s">
        <v>6345</v>
      </c>
      <c r="B132" s="3" t="s">
        <v>6341</v>
      </c>
      <c r="C132" s="4">
        <v>1</v>
      </c>
      <c r="D132" s="5">
        <v>28</v>
      </c>
      <c r="E132" s="4">
        <v>87994201</v>
      </c>
      <c r="F132" s="3" t="s">
        <v>5532</v>
      </c>
      <c r="G132" s="7" t="s">
        <v>5898</v>
      </c>
      <c r="H132" s="3" t="s">
        <v>6280</v>
      </c>
      <c r="I132" s="3" t="s">
        <v>6281</v>
      </c>
      <c r="J132" s="3" t="s">
        <v>5536</v>
      </c>
      <c r="K132" s="3" t="s">
        <v>6342</v>
      </c>
      <c r="L132" s="8" t="str">
        <f>HYPERLINK("http://slimages.macys.com/is/image/MCY/15147424 ")</f>
        <v xml:space="preserve">http://slimages.macys.com/is/image/MCY/15147424 </v>
      </c>
    </row>
    <row r="133" spans="1:12" ht="24.75" x14ac:dyDescent="0.25">
      <c r="A133" s="6" t="s">
        <v>4217</v>
      </c>
      <c r="B133" s="3" t="s">
        <v>4166</v>
      </c>
      <c r="C133" s="4">
        <v>1</v>
      </c>
      <c r="D133" s="5">
        <v>28</v>
      </c>
      <c r="E133" s="4" t="s">
        <v>4167</v>
      </c>
      <c r="F133" s="3" t="s">
        <v>5532</v>
      </c>
      <c r="G133" s="7" t="s">
        <v>5898</v>
      </c>
      <c r="H133" s="3" t="s">
        <v>6280</v>
      </c>
      <c r="I133" s="3" t="s">
        <v>6312</v>
      </c>
      <c r="J133" s="3" t="s">
        <v>5536</v>
      </c>
      <c r="K133" s="3" t="s">
        <v>6303</v>
      </c>
      <c r="L133" s="8" t="str">
        <f>HYPERLINK("http://slimages.macys.com/is/image/MCY/15346508 ")</f>
        <v xml:space="preserve">http://slimages.macys.com/is/image/MCY/15346508 </v>
      </c>
    </row>
    <row r="134" spans="1:12" ht="24.75" x14ac:dyDescent="0.25">
      <c r="A134" s="6" t="s">
        <v>3182</v>
      </c>
      <c r="B134" s="3" t="s">
        <v>6344</v>
      </c>
      <c r="C134" s="4">
        <v>1</v>
      </c>
      <c r="D134" s="5">
        <v>28</v>
      </c>
      <c r="E134" s="4">
        <v>87993501</v>
      </c>
      <c r="F134" s="3" t="s">
        <v>6217</v>
      </c>
      <c r="G134" s="7" t="s">
        <v>5898</v>
      </c>
      <c r="H134" s="3" t="s">
        <v>6280</v>
      </c>
      <c r="I134" s="3" t="s">
        <v>6281</v>
      </c>
      <c r="J134" s="3" t="s">
        <v>5536</v>
      </c>
      <c r="K134" s="3" t="s">
        <v>6338</v>
      </c>
      <c r="L134" s="8" t="str">
        <f>HYPERLINK("http://slimages.macys.com/is/image/MCY/13909913 ")</f>
        <v xml:space="preserve">http://slimages.macys.com/is/image/MCY/13909913 </v>
      </c>
    </row>
    <row r="135" spans="1:12" ht="24.75" x14ac:dyDescent="0.25">
      <c r="A135" s="6" t="s">
        <v>1353</v>
      </c>
      <c r="B135" s="3" t="s">
        <v>6306</v>
      </c>
      <c r="C135" s="4">
        <v>1</v>
      </c>
      <c r="D135" s="5">
        <v>28</v>
      </c>
      <c r="E135" s="4">
        <v>87994405</v>
      </c>
      <c r="F135" s="3" t="s">
        <v>6217</v>
      </c>
      <c r="G135" s="7" t="s">
        <v>5898</v>
      </c>
      <c r="H135" s="3" t="s">
        <v>6280</v>
      </c>
      <c r="I135" s="3" t="s">
        <v>6281</v>
      </c>
      <c r="J135" s="3" t="s">
        <v>5536</v>
      </c>
      <c r="K135" s="3" t="s">
        <v>6295</v>
      </c>
      <c r="L135" s="8" t="str">
        <f>HYPERLINK("http://slimages.macys.com/is/image/MCY/16090922 ")</f>
        <v xml:space="preserve">http://slimages.macys.com/is/image/MCY/16090922 </v>
      </c>
    </row>
    <row r="136" spans="1:12" ht="24.75" x14ac:dyDescent="0.25">
      <c r="A136" s="6" t="s">
        <v>1354</v>
      </c>
      <c r="B136" s="3" t="s">
        <v>6306</v>
      </c>
      <c r="C136" s="4">
        <v>1</v>
      </c>
      <c r="D136" s="5">
        <v>28</v>
      </c>
      <c r="E136" s="4">
        <v>87994405</v>
      </c>
      <c r="F136" s="3" t="s">
        <v>5552</v>
      </c>
      <c r="G136" s="7" t="s">
        <v>5898</v>
      </c>
      <c r="H136" s="3" t="s">
        <v>6280</v>
      </c>
      <c r="I136" s="3" t="s">
        <v>6281</v>
      </c>
      <c r="J136" s="3" t="s">
        <v>5536</v>
      </c>
      <c r="K136" s="3" t="s">
        <v>6295</v>
      </c>
      <c r="L136" s="8" t="str">
        <f>HYPERLINK("http://slimages.macys.com/is/image/MCY/16090922 ")</f>
        <v xml:space="preserve">http://slimages.macys.com/is/image/MCY/16090922 </v>
      </c>
    </row>
    <row r="137" spans="1:12" ht="24.75" x14ac:dyDescent="0.25">
      <c r="A137" s="6" t="s">
        <v>6424</v>
      </c>
      <c r="B137" s="3" t="s">
        <v>6425</v>
      </c>
      <c r="C137" s="4">
        <v>1</v>
      </c>
      <c r="D137" s="5">
        <v>27.99</v>
      </c>
      <c r="E137" s="4" t="s">
        <v>6426</v>
      </c>
      <c r="F137" s="3" t="s">
        <v>5532</v>
      </c>
      <c r="G137" s="7" t="s">
        <v>6252</v>
      </c>
      <c r="H137" s="3" t="s">
        <v>6280</v>
      </c>
      <c r="I137" s="3" t="s">
        <v>6420</v>
      </c>
      <c r="J137" s="3" t="s">
        <v>5536</v>
      </c>
      <c r="K137" s="3" t="s">
        <v>5727</v>
      </c>
      <c r="L137" s="8" t="str">
        <f>HYPERLINK("http://slimages.macys.com/is/image/MCY/16125170 ")</f>
        <v xml:space="preserve">http://slimages.macys.com/is/image/MCY/16125170 </v>
      </c>
    </row>
    <row r="138" spans="1:12" ht="24.75" x14ac:dyDescent="0.25">
      <c r="A138" s="6" t="s">
        <v>1355</v>
      </c>
      <c r="B138" s="3" t="s">
        <v>1356</v>
      </c>
      <c r="C138" s="4">
        <v>1</v>
      </c>
      <c r="D138" s="5">
        <v>40</v>
      </c>
      <c r="E138" s="4" t="s">
        <v>1357</v>
      </c>
      <c r="F138" s="3" t="s">
        <v>5532</v>
      </c>
      <c r="G138" s="7" t="s">
        <v>5733</v>
      </c>
      <c r="H138" s="3" t="s">
        <v>6019</v>
      </c>
      <c r="I138" s="3" t="s">
        <v>6020</v>
      </c>
      <c r="J138" s="3" t="s">
        <v>5536</v>
      </c>
      <c r="K138" s="3" t="s">
        <v>5594</v>
      </c>
      <c r="L138" s="8" t="str">
        <f>HYPERLINK("http://slimages.macys.com/is/image/MCY/15629760 ")</f>
        <v xml:space="preserve">http://slimages.macys.com/is/image/MCY/15629760 </v>
      </c>
    </row>
    <row r="139" spans="1:12" ht="24.75" x14ac:dyDescent="0.25">
      <c r="A139" s="6" t="s">
        <v>1358</v>
      </c>
      <c r="B139" s="3" t="s">
        <v>1359</v>
      </c>
      <c r="C139" s="4">
        <v>1</v>
      </c>
      <c r="D139" s="5">
        <v>25</v>
      </c>
      <c r="E139" s="4" t="s">
        <v>1360</v>
      </c>
      <c r="F139" s="3" t="s">
        <v>5532</v>
      </c>
      <c r="G139" s="7"/>
      <c r="H139" s="3" t="s">
        <v>5825</v>
      </c>
      <c r="I139" s="3" t="s">
        <v>6265</v>
      </c>
      <c r="J139" s="3" t="s">
        <v>5536</v>
      </c>
      <c r="K139" s="3" t="s">
        <v>6266</v>
      </c>
      <c r="L139" s="8" t="str">
        <f>HYPERLINK("http://slimages.macys.com/is/image/MCY/11535273 ")</f>
        <v xml:space="preserve">http://slimages.macys.com/is/image/MCY/11535273 </v>
      </c>
    </row>
    <row r="140" spans="1:12" ht="24.75" x14ac:dyDescent="0.25">
      <c r="A140" s="6" t="s">
        <v>1361</v>
      </c>
      <c r="B140" s="3" t="s">
        <v>1362</v>
      </c>
      <c r="C140" s="4">
        <v>1</v>
      </c>
      <c r="D140" s="5">
        <v>22</v>
      </c>
      <c r="E140" s="4" t="s">
        <v>1363</v>
      </c>
      <c r="F140" s="3" t="s">
        <v>5661</v>
      </c>
      <c r="G140" s="7" t="s">
        <v>5596</v>
      </c>
      <c r="H140" s="3" t="s">
        <v>7152</v>
      </c>
      <c r="I140" s="3" t="s">
        <v>1364</v>
      </c>
      <c r="J140" s="3" t="s">
        <v>5536</v>
      </c>
      <c r="K140" s="3" t="s">
        <v>5549</v>
      </c>
      <c r="L140" s="8" t="str">
        <f>HYPERLINK("http://slimages.macys.com/is/image/MCY/14397798 ")</f>
        <v xml:space="preserve">http://slimages.macys.com/is/image/MCY/14397798 </v>
      </c>
    </row>
    <row r="141" spans="1:12" x14ac:dyDescent="0.25">
      <c r="A141" s="6" t="s">
        <v>1365</v>
      </c>
      <c r="B141" s="3" t="s">
        <v>1366</v>
      </c>
      <c r="C141" s="4">
        <v>1</v>
      </c>
      <c r="D141" s="5">
        <v>29.5</v>
      </c>
      <c r="E141" s="4">
        <v>100084830</v>
      </c>
      <c r="F141" s="3" t="s">
        <v>5578</v>
      </c>
      <c r="G141" s="7" t="s">
        <v>5596</v>
      </c>
      <c r="H141" s="3" t="s">
        <v>5585</v>
      </c>
      <c r="I141" s="3" t="s">
        <v>5734</v>
      </c>
      <c r="J141" s="3" t="s">
        <v>5536</v>
      </c>
      <c r="K141" s="3" t="s">
        <v>5574</v>
      </c>
      <c r="L141" s="8" t="str">
        <f>HYPERLINK("http://slimages.macys.com/is/image/MCY/15889048 ")</f>
        <v xml:space="preserve">http://slimages.macys.com/is/image/MCY/15889048 </v>
      </c>
    </row>
    <row r="142" spans="1:12" ht="24.75" x14ac:dyDescent="0.25">
      <c r="A142" s="6" t="s">
        <v>1367</v>
      </c>
      <c r="B142" s="3" t="s">
        <v>1368</v>
      </c>
      <c r="C142" s="4">
        <v>1</v>
      </c>
      <c r="D142" s="5">
        <v>24</v>
      </c>
      <c r="E142" s="4" t="s">
        <v>1369</v>
      </c>
      <c r="F142" s="3" t="s">
        <v>5783</v>
      </c>
      <c r="G142" s="7"/>
      <c r="H142" s="3" t="s">
        <v>5825</v>
      </c>
      <c r="I142" s="3" t="s">
        <v>6673</v>
      </c>
      <c r="J142" s="3" t="s">
        <v>5536</v>
      </c>
      <c r="K142" s="3" t="s">
        <v>5594</v>
      </c>
      <c r="L142" s="8" t="str">
        <f>HYPERLINK("http://slimages.macys.com/is/image/MCY/12153446 ")</f>
        <v xml:space="preserve">http://slimages.macys.com/is/image/MCY/12153446 </v>
      </c>
    </row>
    <row r="143" spans="1:12" ht="24.75" x14ac:dyDescent="0.25">
      <c r="A143" s="6" t="s">
        <v>1370</v>
      </c>
      <c r="B143" s="3" t="s">
        <v>6273</v>
      </c>
      <c r="C143" s="4">
        <v>1</v>
      </c>
      <c r="D143" s="5">
        <v>25</v>
      </c>
      <c r="E143" s="4" t="s">
        <v>6274</v>
      </c>
      <c r="F143" s="3" t="s">
        <v>5604</v>
      </c>
      <c r="G143" s="7"/>
      <c r="H143" s="3" t="s">
        <v>5825</v>
      </c>
      <c r="I143" s="3" t="s">
        <v>6265</v>
      </c>
      <c r="J143" s="3" t="s">
        <v>5536</v>
      </c>
      <c r="K143" s="3" t="s">
        <v>6266</v>
      </c>
      <c r="L143" s="8" t="str">
        <f>HYPERLINK("http://slimages.macys.com/is/image/MCY/11544590 ")</f>
        <v xml:space="preserve">http://slimages.macys.com/is/image/MCY/11544590 </v>
      </c>
    </row>
    <row r="144" spans="1:12" ht="24.75" x14ac:dyDescent="0.25">
      <c r="A144" s="6" t="s">
        <v>1371</v>
      </c>
      <c r="B144" s="3" t="s">
        <v>4281</v>
      </c>
      <c r="C144" s="4">
        <v>1</v>
      </c>
      <c r="D144" s="5">
        <v>25</v>
      </c>
      <c r="E144" s="4" t="s">
        <v>4282</v>
      </c>
      <c r="F144" s="3" t="s">
        <v>5745</v>
      </c>
      <c r="G144" s="7"/>
      <c r="H144" s="3" t="s">
        <v>5825</v>
      </c>
      <c r="I144" s="3" t="s">
        <v>6265</v>
      </c>
      <c r="J144" s="3" t="s">
        <v>5536</v>
      </c>
      <c r="K144" s="3" t="s">
        <v>6266</v>
      </c>
      <c r="L144" s="8" t="str">
        <f>HYPERLINK("http://slimages.macys.com/is/image/MCY/13290120 ")</f>
        <v xml:space="preserve">http://slimages.macys.com/is/image/MCY/13290120 </v>
      </c>
    </row>
    <row r="145" spans="1:12" ht="24.75" x14ac:dyDescent="0.25">
      <c r="A145" s="6" t="s">
        <v>4280</v>
      </c>
      <c r="B145" s="3" t="s">
        <v>4281</v>
      </c>
      <c r="C145" s="4">
        <v>1</v>
      </c>
      <c r="D145" s="5">
        <v>25</v>
      </c>
      <c r="E145" s="4" t="s">
        <v>4282</v>
      </c>
      <c r="F145" s="3" t="s">
        <v>5745</v>
      </c>
      <c r="G145" s="7"/>
      <c r="H145" s="3" t="s">
        <v>5825</v>
      </c>
      <c r="I145" s="3" t="s">
        <v>6265</v>
      </c>
      <c r="J145" s="3" t="s">
        <v>5536</v>
      </c>
      <c r="K145" s="3" t="s">
        <v>6266</v>
      </c>
      <c r="L145" s="8" t="str">
        <f>HYPERLINK("http://slimages.macys.com/is/image/MCY/13290120 ")</f>
        <v xml:space="preserve">http://slimages.macys.com/is/image/MCY/13290120 </v>
      </c>
    </row>
    <row r="146" spans="1:12" ht="24.75" x14ac:dyDescent="0.25">
      <c r="A146" s="6" t="s">
        <v>1372</v>
      </c>
      <c r="B146" s="3" t="s">
        <v>4281</v>
      </c>
      <c r="C146" s="4">
        <v>3</v>
      </c>
      <c r="D146" s="5">
        <v>75</v>
      </c>
      <c r="E146" s="4" t="s">
        <v>4282</v>
      </c>
      <c r="F146" s="3" t="s">
        <v>5745</v>
      </c>
      <c r="G146" s="7"/>
      <c r="H146" s="3" t="s">
        <v>5825</v>
      </c>
      <c r="I146" s="3" t="s">
        <v>6265</v>
      </c>
      <c r="J146" s="3" t="s">
        <v>5536</v>
      </c>
      <c r="K146" s="3" t="s">
        <v>6266</v>
      </c>
      <c r="L146" s="8" t="str">
        <f>HYPERLINK("http://slimages.macys.com/is/image/MCY/13290120 ")</f>
        <v xml:space="preserve">http://slimages.macys.com/is/image/MCY/13290120 </v>
      </c>
    </row>
    <row r="147" spans="1:12" ht="24.75" x14ac:dyDescent="0.25">
      <c r="A147" s="6" t="s">
        <v>1373</v>
      </c>
      <c r="B147" s="3" t="s">
        <v>4281</v>
      </c>
      <c r="C147" s="4">
        <v>1</v>
      </c>
      <c r="D147" s="5">
        <v>25</v>
      </c>
      <c r="E147" s="4" t="s">
        <v>4282</v>
      </c>
      <c r="F147" s="3" t="s">
        <v>5745</v>
      </c>
      <c r="G147" s="7"/>
      <c r="H147" s="3" t="s">
        <v>5825</v>
      </c>
      <c r="I147" s="3" t="s">
        <v>6265</v>
      </c>
      <c r="J147" s="3" t="s">
        <v>5536</v>
      </c>
      <c r="K147" s="3" t="s">
        <v>6266</v>
      </c>
      <c r="L147" s="8" t="str">
        <f>HYPERLINK("http://slimages.macys.com/is/image/MCY/13290120 ")</f>
        <v xml:space="preserve">http://slimages.macys.com/is/image/MCY/13290120 </v>
      </c>
    </row>
    <row r="148" spans="1:12" ht="24.75" x14ac:dyDescent="0.25">
      <c r="A148" s="6" t="s">
        <v>4283</v>
      </c>
      <c r="B148" s="3" t="s">
        <v>4281</v>
      </c>
      <c r="C148" s="4">
        <v>1</v>
      </c>
      <c r="D148" s="5">
        <v>25</v>
      </c>
      <c r="E148" s="4" t="s">
        <v>4282</v>
      </c>
      <c r="F148" s="3" t="s">
        <v>5745</v>
      </c>
      <c r="G148" s="7"/>
      <c r="H148" s="3" t="s">
        <v>5825</v>
      </c>
      <c r="I148" s="3" t="s">
        <v>6265</v>
      </c>
      <c r="J148" s="3" t="s">
        <v>5536</v>
      </c>
      <c r="K148" s="3" t="s">
        <v>6266</v>
      </c>
      <c r="L148" s="8" t="str">
        <f>HYPERLINK("http://slimages.macys.com/is/image/MCY/13290120 ")</f>
        <v xml:space="preserve">http://slimages.macys.com/is/image/MCY/13290120 </v>
      </c>
    </row>
    <row r="149" spans="1:12" ht="24.75" x14ac:dyDescent="0.25">
      <c r="A149" s="6" t="s">
        <v>6512</v>
      </c>
      <c r="B149" s="3" t="s">
        <v>6513</v>
      </c>
      <c r="C149" s="4">
        <v>16</v>
      </c>
      <c r="D149" s="5">
        <v>320</v>
      </c>
      <c r="E149" s="4" t="s">
        <v>6514</v>
      </c>
      <c r="F149" s="3" t="s">
        <v>5532</v>
      </c>
      <c r="G149" s="7" t="s">
        <v>5898</v>
      </c>
      <c r="H149" s="3" t="s">
        <v>6515</v>
      </c>
      <c r="I149" s="3" t="s">
        <v>6004</v>
      </c>
      <c r="J149" s="3" t="s">
        <v>5536</v>
      </c>
      <c r="K149" s="3" t="s">
        <v>5984</v>
      </c>
      <c r="L149" s="8" t="str">
        <f>HYPERLINK("http://slimages.macys.com/is/image/MCY/14573859 ")</f>
        <v xml:space="preserve">http://slimages.macys.com/is/image/MCY/14573859 </v>
      </c>
    </row>
    <row r="150" spans="1:12" x14ac:dyDescent="0.25">
      <c r="A150" s="6" t="s">
        <v>5058</v>
      </c>
      <c r="B150" s="3" t="s">
        <v>6544</v>
      </c>
      <c r="C150" s="4">
        <v>1</v>
      </c>
      <c r="D150" s="5">
        <v>29.5</v>
      </c>
      <c r="E150" s="4">
        <v>100086684</v>
      </c>
      <c r="F150" s="3" t="s">
        <v>5540</v>
      </c>
      <c r="G150" s="7" t="s">
        <v>5596</v>
      </c>
      <c r="H150" s="3" t="s">
        <v>5585</v>
      </c>
      <c r="I150" s="3" t="s">
        <v>5734</v>
      </c>
      <c r="J150" s="3" t="s">
        <v>5536</v>
      </c>
      <c r="K150" s="3" t="s">
        <v>5574</v>
      </c>
      <c r="L150" s="8" t="str">
        <f>HYPERLINK("http://slimages.macys.com/is/image/MCY/15889065 ")</f>
        <v xml:space="preserve">http://slimages.macys.com/is/image/MCY/15889065 </v>
      </c>
    </row>
    <row r="151" spans="1:12" ht="24.75" x14ac:dyDescent="0.25">
      <c r="A151" s="6" t="s">
        <v>1374</v>
      </c>
      <c r="B151" s="3" t="s">
        <v>6558</v>
      </c>
      <c r="C151" s="4">
        <v>1</v>
      </c>
      <c r="D151" s="5">
        <v>34.99</v>
      </c>
      <c r="E151" s="4" t="s">
        <v>6559</v>
      </c>
      <c r="F151" s="3" t="s">
        <v>5540</v>
      </c>
      <c r="G151" s="7" t="s">
        <v>5560</v>
      </c>
      <c r="H151" s="3" t="s">
        <v>5978</v>
      </c>
      <c r="I151" s="3" t="s">
        <v>5979</v>
      </c>
      <c r="J151" s="3" t="s">
        <v>5536</v>
      </c>
      <c r="K151" s="3" t="s">
        <v>5864</v>
      </c>
      <c r="L151" s="8" t="str">
        <f>HYPERLINK("http://slimages.macys.com/is/image/MCY/15250545 ")</f>
        <v xml:space="preserve">http://slimages.macys.com/is/image/MCY/15250545 </v>
      </c>
    </row>
    <row r="152" spans="1:12" ht="24.75" x14ac:dyDescent="0.25">
      <c r="A152" s="6" t="s">
        <v>1375</v>
      </c>
      <c r="B152" s="3" t="s">
        <v>1376</v>
      </c>
      <c r="C152" s="4">
        <v>1</v>
      </c>
      <c r="D152" s="5">
        <v>24</v>
      </c>
      <c r="E152" s="4" t="s">
        <v>1377</v>
      </c>
      <c r="F152" s="3" t="s">
        <v>6335</v>
      </c>
      <c r="G152" s="7"/>
      <c r="H152" s="3" t="s">
        <v>5825</v>
      </c>
      <c r="I152" s="3" t="s">
        <v>6673</v>
      </c>
      <c r="J152" s="3" t="s">
        <v>5536</v>
      </c>
      <c r="K152" s="3" t="s">
        <v>5594</v>
      </c>
      <c r="L152" s="8" t="str">
        <f>HYPERLINK("http://slimages.macys.com/is/image/MCY/12273573 ")</f>
        <v xml:space="preserve">http://slimages.macys.com/is/image/MCY/12273573 </v>
      </c>
    </row>
    <row r="153" spans="1:12" ht="24.75" x14ac:dyDescent="0.25">
      <c r="A153" s="6" t="s">
        <v>1378</v>
      </c>
      <c r="B153" s="3" t="s">
        <v>3235</v>
      </c>
      <c r="C153" s="4">
        <v>1</v>
      </c>
      <c r="D153" s="5">
        <v>23</v>
      </c>
      <c r="E153" s="4" t="s">
        <v>3236</v>
      </c>
      <c r="F153" s="3" t="s">
        <v>5578</v>
      </c>
      <c r="G153" s="7"/>
      <c r="H153" s="3" t="s">
        <v>5825</v>
      </c>
      <c r="I153" s="3" t="s">
        <v>5826</v>
      </c>
      <c r="J153" s="3" t="s">
        <v>5536</v>
      </c>
      <c r="K153" s="3" t="s">
        <v>5549</v>
      </c>
      <c r="L153" s="8" t="str">
        <f>HYPERLINK("http://slimages.macys.com/is/image/MCY/10267374 ")</f>
        <v xml:space="preserve">http://slimages.macys.com/is/image/MCY/10267374 </v>
      </c>
    </row>
    <row r="154" spans="1:12" ht="24.75" x14ac:dyDescent="0.25">
      <c r="A154" s="6" t="s">
        <v>1379</v>
      </c>
      <c r="B154" s="3" t="s">
        <v>6566</v>
      </c>
      <c r="C154" s="4">
        <v>1</v>
      </c>
      <c r="D154" s="5">
        <v>23</v>
      </c>
      <c r="E154" s="4">
        <v>100019476</v>
      </c>
      <c r="F154" s="3" t="s">
        <v>5783</v>
      </c>
      <c r="G154" s="7" t="s">
        <v>6476</v>
      </c>
      <c r="H154" s="3" t="s">
        <v>5825</v>
      </c>
      <c r="I154" s="3" t="s">
        <v>5826</v>
      </c>
      <c r="J154" s="3" t="s">
        <v>5536</v>
      </c>
      <c r="K154" s="3" t="s">
        <v>5594</v>
      </c>
      <c r="L154" s="8" t="str">
        <f>HYPERLINK("http://slimages.macys.com/is/image/MCY/9512821 ")</f>
        <v xml:space="preserve">http://slimages.macys.com/is/image/MCY/9512821 </v>
      </c>
    </row>
    <row r="155" spans="1:12" ht="24.75" x14ac:dyDescent="0.25">
      <c r="A155" s="6" t="s">
        <v>490</v>
      </c>
      <c r="B155" s="3" t="s">
        <v>489</v>
      </c>
      <c r="C155" s="4">
        <v>1</v>
      </c>
      <c r="D155" s="5">
        <v>24.5</v>
      </c>
      <c r="E155" s="4">
        <v>100018972</v>
      </c>
      <c r="F155" s="3" t="s">
        <v>5540</v>
      </c>
      <c r="G155" s="7" t="s">
        <v>5582</v>
      </c>
      <c r="H155" s="3" t="s">
        <v>5585</v>
      </c>
      <c r="I155" s="3" t="s">
        <v>5734</v>
      </c>
      <c r="J155" s="3" t="s">
        <v>5536</v>
      </c>
      <c r="K155" s="3" t="s">
        <v>5574</v>
      </c>
      <c r="L155" s="8" t="str">
        <f>HYPERLINK("http://slimages.macys.com/is/image/MCY/9805804 ")</f>
        <v xml:space="preserve">http://slimages.macys.com/is/image/MCY/9805804 </v>
      </c>
    </row>
    <row r="156" spans="1:12" ht="24.75" x14ac:dyDescent="0.25">
      <c r="A156" s="6" t="s">
        <v>1380</v>
      </c>
      <c r="B156" s="3" t="s">
        <v>3244</v>
      </c>
      <c r="C156" s="4">
        <v>1</v>
      </c>
      <c r="D156" s="5">
        <v>24</v>
      </c>
      <c r="E156" s="4" t="s">
        <v>3245</v>
      </c>
      <c r="F156" s="3" t="s">
        <v>5578</v>
      </c>
      <c r="G156" s="7"/>
      <c r="H156" s="3" t="s">
        <v>5825</v>
      </c>
      <c r="I156" s="3" t="s">
        <v>6673</v>
      </c>
      <c r="J156" s="3" t="s">
        <v>5536</v>
      </c>
      <c r="K156" s="3" t="s">
        <v>5553</v>
      </c>
      <c r="L156" s="8" t="str">
        <f>HYPERLINK("http://slimages.macys.com/is/image/MCY/8974187 ")</f>
        <v xml:space="preserve">http://slimages.macys.com/is/image/MCY/8974187 </v>
      </c>
    </row>
    <row r="157" spans="1:12" ht="24.75" x14ac:dyDescent="0.25">
      <c r="A157" s="6" t="s">
        <v>1381</v>
      </c>
      <c r="B157" s="3" t="s">
        <v>2460</v>
      </c>
      <c r="C157" s="4">
        <v>1</v>
      </c>
      <c r="D157" s="5">
        <v>23</v>
      </c>
      <c r="E157" s="4" t="s">
        <v>2461</v>
      </c>
      <c r="F157" s="3" t="s">
        <v>6275</v>
      </c>
      <c r="G157" s="7"/>
      <c r="H157" s="3" t="s">
        <v>5825</v>
      </c>
      <c r="I157" s="3" t="s">
        <v>5826</v>
      </c>
      <c r="J157" s="3" t="s">
        <v>5536</v>
      </c>
      <c r="K157" s="3" t="s">
        <v>5594</v>
      </c>
      <c r="L157" s="8" t="str">
        <f>HYPERLINK("http://slimages.macys.com/is/image/MCY/13401361 ")</f>
        <v xml:space="preserve">http://slimages.macys.com/is/image/MCY/13401361 </v>
      </c>
    </row>
    <row r="158" spans="1:12" ht="24.75" x14ac:dyDescent="0.25">
      <c r="A158" s="6" t="s">
        <v>1382</v>
      </c>
      <c r="B158" s="3" t="s">
        <v>2475</v>
      </c>
      <c r="C158" s="4">
        <v>1</v>
      </c>
      <c r="D158" s="5">
        <v>23</v>
      </c>
      <c r="E158" s="4">
        <v>100005305</v>
      </c>
      <c r="F158" s="3" t="s">
        <v>5532</v>
      </c>
      <c r="G158" s="7" t="s">
        <v>5779</v>
      </c>
      <c r="H158" s="3" t="s">
        <v>5825</v>
      </c>
      <c r="I158" s="3" t="s">
        <v>5826</v>
      </c>
      <c r="J158" s="3" t="s">
        <v>5536</v>
      </c>
      <c r="K158" s="3" t="s">
        <v>5594</v>
      </c>
      <c r="L158" s="8" t="str">
        <f>HYPERLINK("http://slimages.macys.com/is/image/MCY/9228910 ")</f>
        <v xml:space="preserve">http://slimages.macys.com/is/image/MCY/9228910 </v>
      </c>
    </row>
    <row r="159" spans="1:12" x14ac:dyDescent="0.25">
      <c r="A159" s="6" t="s">
        <v>1383</v>
      </c>
      <c r="B159" s="3" t="s">
        <v>3268</v>
      </c>
      <c r="C159" s="4">
        <v>1</v>
      </c>
      <c r="D159" s="5">
        <v>29.5</v>
      </c>
      <c r="E159" s="4">
        <v>100084827</v>
      </c>
      <c r="F159" s="3" t="s">
        <v>6075</v>
      </c>
      <c r="G159" s="7" t="s">
        <v>5533</v>
      </c>
      <c r="H159" s="3" t="s">
        <v>5585</v>
      </c>
      <c r="I159" s="3" t="s">
        <v>5734</v>
      </c>
      <c r="J159" s="3" t="s">
        <v>5536</v>
      </c>
      <c r="K159" s="3" t="s">
        <v>5594</v>
      </c>
      <c r="L159" s="8" t="str">
        <f>HYPERLINK("http://slimages.macys.com/is/image/MCY/15889061 ")</f>
        <v xml:space="preserve">http://slimages.macys.com/is/image/MCY/15889061 </v>
      </c>
    </row>
    <row r="160" spans="1:12" ht="24.75" x14ac:dyDescent="0.25">
      <c r="A160" s="6" t="s">
        <v>4331</v>
      </c>
      <c r="B160" s="3" t="s">
        <v>4332</v>
      </c>
      <c r="C160" s="4">
        <v>1</v>
      </c>
      <c r="D160" s="5">
        <v>20</v>
      </c>
      <c r="E160" s="4">
        <v>5149097</v>
      </c>
      <c r="F160" s="3" t="s">
        <v>5977</v>
      </c>
      <c r="G160" s="7" t="s">
        <v>5898</v>
      </c>
      <c r="H160" s="3" t="s">
        <v>4333</v>
      </c>
      <c r="I160" s="3" t="s">
        <v>4334</v>
      </c>
      <c r="J160" s="3" t="s">
        <v>5536</v>
      </c>
      <c r="K160" s="3" t="s">
        <v>5984</v>
      </c>
      <c r="L160" s="8" t="str">
        <f>HYPERLINK("http://slimages.macys.com/is/image/MCY/15433408 ")</f>
        <v xml:space="preserve">http://slimages.macys.com/is/image/MCY/15433408 </v>
      </c>
    </row>
    <row r="161" spans="1:12" ht="24.75" x14ac:dyDescent="0.25">
      <c r="A161" s="6" t="s">
        <v>1384</v>
      </c>
      <c r="B161" s="3" t="s">
        <v>4332</v>
      </c>
      <c r="C161" s="4">
        <v>3</v>
      </c>
      <c r="D161" s="5">
        <v>60</v>
      </c>
      <c r="E161" s="4">
        <v>5149096</v>
      </c>
      <c r="F161" s="3" t="s">
        <v>5540</v>
      </c>
      <c r="G161" s="7" t="s">
        <v>5898</v>
      </c>
      <c r="H161" s="3" t="s">
        <v>4333</v>
      </c>
      <c r="I161" s="3" t="s">
        <v>4334</v>
      </c>
      <c r="J161" s="3" t="s">
        <v>5536</v>
      </c>
      <c r="K161" s="3" t="s">
        <v>5984</v>
      </c>
      <c r="L161" s="8" t="str">
        <f>HYPERLINK("http://slimages.macys.com/is/image/MCY/15433408 ")</f>
        <v xml:space="preserve">http://slimages.macys.com/is/image/MCY/15433408 </v>
      </c>
    </row>
    <row r="162" spans="1:12" ht="36.75" x14ac:dyDescent="0.25">
      <c r="A162" s="6" t="s">
        <v>6615</v>
      </c>
      <c r="B162" s="3" t="s">
        <v>6612</v>
      </c>
      <c r="C162" s="4">
        <v>10</v>
      </c>
      <c r="D162" s="5">
        <v>208.8</v>
      </c>
      <c r="E162" s="4" t="s">
        <v>6613</v>
      </c>
      <c r="F162" s="3" t="s">
        <v>5540</v>
      </c>
      <c r="G162" s="7" t="s">
        <v>5596</v>
      </c>
      <c r="H162" s="3" t="s">
        <v>5842</v>
      </c>
      <c r="I162" s="3" t="s">
        <v>5843</v>
      </c>
      <c r="J162" s="3" t="s">
        <v>5536</v>
      </c>
      <c r="K162" s="3" t="s">
        <v>6614</v>
      </c>
      <c r="L162" s="8" t="str">
        <f>HYPERLINK("http://slimages.macys.com/is/image/MCY/15251823 ")</f>
        <v xml:space="preserve">http://slimages.macys.com/is/image/MCY/15251823 </v>
      </c>
    </row>
    <row r="163" spans="1:12" ht="36.75" x14ac:dyDescent="0.25">
      <c r="A163" s="6" t="s">
        <v>6616</v>
      </c>
      <c r="B163" s="3" t="s">
        <v>6612</v>
      </c>
      <c r="C163" s="4">
        <v>4</v>
      </c>
      <c r="D163" s="5">
        <v>83.52</v>
      </c>
      <c r="E163" s="4" t="s">
        <v>6613</v>
      </c>
      <c r="F163" s="3" t="s">
        <v>5540</v>
      </c>
      <c r="G163" s="7" t="s">
        <v>5562</v>
      </c>
      <c r="H163" s="3" t="s">
        <v>5842</v>
      </c>
      <c r="I163" s="3" t="s">
        <v>5843</v>
      </c>
      <c r="J163" s="3" t="s">
        <v>5536</v>
      </c>
      <c r="K163" s="3" t="s">
        <v>6614</v>
      </c>
      <c r="L163" s="8" t="str">
        <f>HYPERLINK("http://slimages.macys.com/is/image/MCY/15251823 ")</f>
        <v xml:space="preserve">http://slimages.macys.com/is/image/MCY/15251823 </v>
      </c>
    </row>
    <row r="164" spans="1:12" ht="36.75" x14ac:dyDescent="0.25">
      <c r="A164" s="6" t="s">
        <v>6611</v>
      </c>
      <c r="B164" s="3" t="s">
        <v>6612</v>
      </c>
      <c r="C164" s="4">
        <v>37</v>
      </c>
      <c r="D164" s="5">
        <v>772.56</v>
      </c>
      <c r="E164" s="4" t="s">
        <v>6613</v>
      </c>
      <c r="F164" s="3" t="s">
        <v>5540</v>
      </c>
      <c r="G164" s="7" t="s">
        <v>5533</v>
      </c>
      <c r="H164" s="3" t="s">
        <v>5842</v>
      </c>
      <c r="I164" s="3" t="s">
        <v>5843</v>
      </c>
      <c r="J164" s="3" t="s">
        <v>5536</v>
      </c>
      <c r="K164" s="3" t="s">
        <v>6614</v>
      </c>
      <c r="L164" s="8" t="str">
        <f>HYPERLINK("http://slimages.macys.com/is/image/MCY/15251823 ")</f>
        <v xml:space="preserve">http://slimages.macys.com/is/image/MCY/15251823 </v>
      </c>
    </row>
    <row r="165" spans="1:12" x14ac:dyDescent="0.25">
      <c r="A165" s="6" t="s">
        <v>5098</v>
      </c>
      <c r="B165" s="3" t="s">
        <v>6621</v>
      </c>
      <c r="C165" s="4">
        <v>1</v>
      </c>
      <c r="D165" s="5">
        <v>29.99</v>
      </c>
      <c r="E165" s="4" t="s">
        <v>6622</v>
      </c>
      <c r="F165" s="3" t="s">
        <v>5552</v>
      </c>
      <c r="G165" s="7" t="s">
        <v>5596</v>
      </c>
      <c r="H165" s="3" t="s">
        <v>6065</v>
      </c>
      <c r="I165" s="3" t="s">
        <v>6066</v>
      </c>
      <c r="J165" s="3" t="s">
        <v>5536</v>
      </c>
      <c r="K165" s="3" t="s">
        <v>5594</v>
      </c>
      <c r="L165" s="8" t="str">
        <f>HYPERLINK("http://slimages.macys.com/is/image/MCY/15361100 ")</f>
        <v xml:space="preserve">http://slimages.macys.com/is/image/MCY/15361100 </v>
      </c>
    </row>
    <row r="166" spans="1:12" x14ac:dyDescent="0.25">
      <c r="A166" s="6" t="s">
        <v>3280</v>
      </c>
      <c r="B166" s="3" t="s">
        <v>6618</v>
      </c>
      <c r="C166" s="4">
        <v>1</v>
      </c>
      <c r="D166" s="5">
        <v>29.99</v>
      </c>
      <c r="E166" s="4" t="s">
        <v>6619</v>
      </c>
      <c r="F166" s="3" t="s">
        <v>5540</v>
      </c>
      <c r="G166" s="7" t="s">
        <v>5560</v>
      </c>
      <c r="H166" s="3" t="s">
        <v>6065</v>
      </c>
      <c r="I166" s="3" t="s">
        <v>6066</v>
      </c>
      <c r="J166" s="3" t="s">
        <v>5536</v>
      </c>
      <c r="K166" s="3" t="s">
        <v>5594</v>
      </c>
      <c r="L166" s="8" t="str">
        <f>HYPERLINK("http://slimages.macys.com/is/image/MCY/15361040 ")</f>
        <v xml:space="preserve">http://slimages.macys.com/is/image/MCY/15361040 </v>
      </c>
    </row>
    <row r="167" spans="1:12" x14ac:dyDescent="0.25">
      <c r="A167" s="6" t="s">
        <v>1385</v>
      </c>
      <c r="B167" s="3" t="s">
        <v>5100</v>
      </c>
      <c r="C167" s="4">
        <v>1</v>
      </c>
      <c r="D167" s="5">
        <v>29.99</v>
      </c>
      <c r="E167" s="4" t="s">
        <v>5101</v>
      </c>
      <c r="F167" s="3" t="s">
        <v>5532</v>
      </c>
      <c r="G167" s="7" t="s">
        <v>5533</v>
      </c>
      <c r="H167" s="3" t="s">
        <v>6065</v>
      </c>
      <c r="I167" s="3" t="s">
        <v>6066</v>
      </c>
      <c r="J167" s="3" t="s">
        <v>5536</v>
      </c>
      <c r="K167" s="3" t="s">
        <v>5594</v>
      </c>
      <c r="L167" s="8" t="str">
        <f>HYPERLINK("http://slimages.macys.com/is/image/MCY/15361087 ")</f>
        <v xml:space="preserve">http://slimages.macys.com/is/image/MCY/15361087 </v>
      </c>
    </row>
    <row r="168" spans="1:12" ht="24.75" x14ac:dyDescent="0.25">
      <c r="A168" s="6" t="s">
        <v>1386</v>
      </c>
      <c r="B168" s="3" t="s">
        <v>3287</v>
      </c>
      <c r="C168" s="4">
        <v>1</v>
      </c>
      <c r="D168" s="5">
        <v>34.99</v>
      </c>
      <c r="E168" s="4" t="s">
        <v>1387</v>
      </c>
      <c r="F168" s="3" t="s">
        <v>6075</v>
      </c>
      <c r="G168" s="7" t="s">
        <v>5598</v>
      </c>
      <c r="H168" s="3" t="s">
        <v>6065</v>
      </c>
      <c r="I168" s="3" t="s">
        <v>6066</v>
      </c>
      <c r="J168" s="3" t="s">
        <v>5536</v>
      </c>
      <c r="K168" s="3" t="s">
        <v>6638</v>
      </c>
      <c r="L168" s="8" t="str">
        <f>HYPERLINK("http://slimages.macys.com/is/image/MCY/9909394 ")</f>
        <v xml:space="preserve">http://slimages.macys.com/is/image/MCY/9909394 </v>
      </c>
    </row>
    <row r="169" spans="1:12" ht="24.75" x14ac:dyDescent="0.25">
      <c r="A169" s="6" t="s">
        <v>1388</v>
      </c>
      <c r="B169" s="3" t="s">
        <v>1389</v>
      </c>
      <c r="C169" s="4">
        <v>1</v>
      </c>
      <c r="D169" s="5">
        <v>15</v>
      </c>
      <c r="E169" s="4" t="s">
        <v>1390</v>
      </c>
      <c r="F169" s="3" t="s">
        <v>5540</v>
      </c>
      <c r="G169" s="7" t="s">
        <v>6252</v>
      </c>
      <c r="H169" s="3" t="s">
        <v>5606</v>
      </c>
      <c r="I169" s="3" t="s">
        <v>6258</v>
      </c>
      <c r="J169" s="3" t="s">
        <v>5536</v>
      </c>
      <c r="K169" s="3" t="s">
        <v>5727</v>
      </c>
      <c r="L169" s="8" t="str">
        <f>HYPERLINK("http://slimages.macys.com/is/image/MCY/10014340 ")</f>
        <v xml:space="preserve">http://slimages.macys.com/is/image/MCY/10014340 </v>
      </c>
    </row>
    <row r="170" spans="1:12" ht="24.75" x14ac:dyDescent="0.25">
      <c r="A170" s="6" t="s">
        <v>1391</v>
      </c>
      <c r="B170" s="3" t="s">
        <v>6660</v>
      </c>
      <c r="C170" s="4">
        <v>1</v>
      </c>
      <c r="D170" s="5">
        <v>29.99</v>
      </c>
      <c r="E170" s="4" t="s">
        <v>6661</v>
      </c>
      <c r="F170" s="3" t="s">
        <v>5754</v>
      </c>
      <c r="G170" s="7" t="s">
        <v>5562</v>
      </c>
      <c r="H170" s="3" t="s">
        <v>6065</v>
      </c>
      <c r="I170" s="3" t="s">
        <v>6066</v>
      </c>
      <c r="J170" s="3" t="s">
        <v>5536</v>
      </c>
      <c r="K170" s="3" t="s">
        <v>6638</v>
      </c>
      <c r="L170" s="8" t="str">
        <f>HYPERLINK("http://slimages.macys.com/is/image/MCY/8796569 ")</f>
        <v xml:space="preserve">http://slimages.macys.com/is/image/MCY/8796569 </v>
      </c>
    </row>
    <row r="171" spans="1:12" ht="36.75" x14ac:dyDescent="0.25">
      <c r="A171" s="6" t="s">
        <v>1392</v>
      </c>
      <c r="B171" s="3" t="s">
        <v>1393</v>
      </c>
      <c r="C171" s="4">
        <v>2</v>
      </c>
      <c r="D171" s="5">
        <v>13.68</v>
      </c>
      <c r="E171" s="4" t="s">
        <v>1394</v>
      </c>
      <c r="F171" s="3" t="s">
        <v>5540</v>
      </c>
      <c r="G171" s="7" t="s">
        <v>5533</v>
      </c>
      <c r="H171" s="3" t="s">
        <v>5842</v>
      </c>
      <c r="I171" s="3" t="s">
        <v>5843</v>
      </c>
      <c r="J171" s="3" t="s">
        <v>5536</v>
      </c>
      <c r="K171" s="3" t="s">
        <v>1395</v>
      </c>
      <c r="L171" s="8" t="str">
        <f>HYPERLINK("http://slimages.macys.com/is/image/MCY/9988282 ")</f>
        <v xml:space="preserve">http://slimages.macys.com/is/image/MCY/9988282 </v>
      </c>
    </row>
    <row r="172" spans="1:12" x14ac:dyDescent="0.25">
      <c r="A172" s="6" t="s">
        <v>1396</v>
      </c>
      <c r="B172" s="3" t="s">
        <v>2508</v>
      </c>
      <c r="C172" s="4">
        <v>1</v>
      </c>
      <c r="D172" s="5">
        <v>29.99</v>
      </c>
      <c r="E172" s="4">
        <v>10131</v>
      </c>
      <c r="F172" s="3" t="s">
        <v>6983</v>
      </c>
      <c r="G172" s="7" t="s">
        <v>5596</v>
      </c>
      <c r="H172" s="3" t="s">
        <v>6065</v>
      </c>
      <c r="I172" s="3" t="s">
        <v>6066</v>
      </c>
      <c r="J172" s="3" t="s">
        <v>5536</v>
      </c>
      <c r="K172" s="3" t="s">
        <v>5574</v>
      </c>
      <c r="L172" s="8" t="str">
        <f>HYPERLINK("http://slimages.macys.com/is/image/MCY/8819814 ")</f>
        <v xml:space="preserve">http://slimages.macys.com/is/image/MCY/8819814 </v>
      </c>
    </row>
    <row r="173" spans="1:12" x14ac:dyDescent="0.25">
      <c r="A173" s="6" t="s">
        <v>1397</v>
      </c>
      <c r="B173" s="3" t="s">
        <v>2508</v>
      </c>
      <c r="C173" s="4">
        <v>1</v>
      </c>
      <c r="D173" s="5">
        <v>29.99</v>
      </c>
      <c r="E173" s="4">
        <v>10131</v>
      </c>
      <c r="F173" s="3" t="s">
        <v>6983</v>
      </c>
      <c r="G173" s="7" t="s">
        <v>5598</v>
      </c>
      <c r="H173" s="3" t="s">
        <v>6065</v>
      </c>
      <c r="I173" s="3" t="s">
        <v>6066</v>
      </c>
      <c r="J173" s="3" t="s">
        <v>5536</v>
      </c>
      <c r="K173" s="3" t="s">
        <v>5574</v>
      </c>
      <c r="L173" s="8" t="str">
        <f>HYPERLINK("http://slimages.macys.com/is/image/MCY/8819814 ")</f>
        <v xml:space="preserve">http://slimages.macys.com/is/image/MCY/8819814 </v>
      </c>
    </row>
    <row r="174" spans="1:12" ht="24.75" x14ac:dyDescent="0.25">
      <c r="A174" s="6" t="s">
        <v>1398</v>
      </c>
      <c r="B174" s="3" t="s">
        <v>2510</v>
      </c>
      <c r="C174" s="4">
        <v>1</v>
      </c>
      <c r="D174" s="5">
        <v>19.989999999999998</v>
      </c>
      <c r="E174" s="4" t="s">
        <v>2511</v>
      </c>
      <c r="F174" s="3" t="s">
        <v>5540</v>
      </c>
      <c r="G174" s="7" t="s">
        <v>6776</v>
      </c>
      <c r="H174" s="3" t="s">
        <v>5842</v>
      </c>
      <c r="I174" s="3" t="s">
        <v>5843</v>
      </c>
      <c r="J174" s="3" t="s">
        <v>5536</v>
      </c>
      <c r="K174" s="3" t="s">
        <v>2512</v>
      </c>
      <c r="L174" s="8" t="str">
        <f>HYPERLINK("http://slimages.macys.com/is/image/MCY/10520680 ")</f>
        <v xml:space="preserve">http://slimages.macys.com/is/image/MCY/10520680 </v>
      </c>
    </row>
    <row r="175" spans="1:12" ht="24.75" x14ac:dyDescent="0.25">
      <c r="A175" s="6" t="s">
        <v>3322</v>
      </c>
      <c r="B175" s="3" t="s">
        <v>5126</v>
      </c>
      <c r="C175" s="4">
        <v>1</v>
      </c>
      <c r="D175" s="5">
        <v>17.5</v>
      </c>
      <c r="E175" s="4" t="s">
        <v>3323</v>
      </c>
      <c r="F175" s="3" t="s">
        <v>5783</v>
      </c>
      <c r="G175" s="7" t="s">
        <v>6476</v>
      </c>
      <c r="H175" s="3" t="s">
        <v>5722</v>
      </c>
      <c r="I175" s="3" t="s">
        <v>5128</v>
      </c>
      <c r="J175" s="3" t="s">
        <v>5536</v>
      </c>
      <c r="K175" s="3" t="s">
        <v>5574</v>
      </c>
      <c r="L175" s="8" t="str">
        <f>HYPERLINK("http://slimages.macys.com/is/image/MCY/15817905 ")</f>
        <v xml:space="preserve">http://slimages.macys.com/is/image/MCY/15817905 </v>
      </c>
    </row>
    <row r="176" spans="1:12" ht="24.75" x14ac:dyDescent="0.25">
      <c r="A176" s="6" t="s">
        <v>1399</v>
      </c>
      <c r="B176" s="3" t="s">
        <v>1400</v>
      </c>
      <c r="C176" s="4">
        <v>1</v>
      </c>
      <c r="D176" s="5">
        <v>24.99</v>
      </c>
      <c r="E176" s="4">
        <v>10007802800</v>
      </c>
      <c r="F176" s="3" t="s">
        <v>5552</v>
      </c>
      <c r="G176" s="7" t="s">
        <v>6252</v>
      </c>
      <c r="H176" s="3" t="s">
        <v>6652</v>
      </c>
      <c r="I176" s="3" t="s">
        <v>6673</v>
      </c>
      <c r="J176" s="3" t="s">
        <v>5536</v>
      </c>
      <c r="K176" s="3" t="s">
        <v>4060</v>
      </c>
      <c r="L176" s="8" t="str">
        <f>HYPERLINK("http://slimages.macys.com/is/image/MCY/14383554 ")</f>
        <v xml:space="preserve">http://slimages.macys.com/is/image/MCY/14383554 </v>
      </c>
    </row>
    <row r="177" spans="1:12" ht="24.75" x14ac:dyDescent="0.25">
      <c r="A177" s="6" t="s">
        <v>525</v>
      </c>
      <c r="B177" s="3" t="s">
        <v>526</v>
      </c>
      <c r="C177" s="4">
        <v>2</v>
      </c>
      <c r="D177" s="5">
        <v>48</v>
      </c>
      <c r="E177" s="4" t="s">
        <v>527</v>
      </c>
      <c r="F177" s="3" t="s">
        <v>5540</v>
      </c>
      <c r="G177" s="7" t="s">
        <v>5898</v>
      </c>
      <c r="H177" s="3" t="s">
        <v>4333</v>
      </c>
      <c r="I177" s="3" t="s">
        <v>528</v>
      </c>
      <c r="J177" s="3" t="s">
        <v>5536</v>
      </c>
      <c r="K177" s="3" t="s">
        <v>5727</v>
      </c>
      <c r="L177" s="8" t="str">
        <f>HYPERLINK("http://slimages.macys.com/is/image/MCY/15353833 ")</f>
        <v xml:space="preserve">http://slimages.macys.com/is/image/MCY/15353833 </v>
      </c>
    </row>
    <row r="178" spans="1:12" ht="24.75" x14ac:dyDescent="0.25">
      <c r="A178" s="6" t="s">
        <v>1401</v>
      </c>
      <c r="B178" s="3" t="s">
        <v>526</v>
      </c>
      <c r="C178" s="4">
        <v>2</v>
      </c>
      <c r="D178" s="5">
        <v>48</v>
      </c>
      <c r="E178" s="4" t="s">
        <v>527</v>
      </c>
      <c r="F178" s="3" t="s">
        <v>5977</v>
      </c>
      <c r="G178" s="7" t="s">
        <v>5898</v>
      </c>
      <c r="H178" s="3" t="s">
        <v>4333</v>
      </c>
      <c r="I178" s="3" t="s">
        <v>528</v>
      </c>
      <c r="J178" s="3" t="s">
        <v>5536</v>
      </c>
      <c r="K178" s="3" t="s">
        <v>5727</v>
      </c>
      <c r="L178" s="8" t="str">
        <f>HYPERLINK("http://slimages.macys.com/is/image/MCY/15353833 ")</f>
        <v xml:space="preserve">http://slimages.macys.com/is/image/MCY/15353833 </v>
      </c>
    </row>
    <row r="179" spans="1:12" ht="24.75" x14ac:dyDescent="0.25">
      <c r="A179" s="6" t="s">
        <v>1402</v>
      </c>
      <c r="B179" s="3" t="s">
        <v>1403</v>
      </c>
      <c r="C179" s="4">
        <v>1</v>
      </c>
      <c r="D179" s="5">
        <v>24.5</v>
      </c>
      <c r="E179" s="4">
        <v>100056208</v>
      </c>
      <c r="F179" s="3" t="s">
        <v>5811</v>
      </c>
      <c r="G179" s="7" t="s">
        <v>5596</v>
      </c>
      <c r="H179" s="3" t="s">
        <v>5585</v>
      </c>
      <c r="I179" s="3" t="s">
        <v>5734</v>
      </c>
      <c r="J179" s="3" t="s">
        <v>5536</v>
      </c>
      <c r="K179" s="3" t="s">
        <v>5574</v>
      </c>
      <c r="L179" s="8" t="str">
        <f>HYPERLINK("http://slimages.macys.com/is/image/MCY/12850945 ")</f>
        <v xml:space="preserve">http://slimages.macys.com/is/image/MCY/12850945 </v>
      </c>
    </row>
    <row r="180" spans="1:12" ht="24.75" x14ac:dyDescent="0.25">
      <c r="A180" s="6" t="s">
        <v>1404</v>
      </c>
      <c r="B180" s="3" t="s">
        <v>6690</v>
      </c>
      <c r="C180" s="4">
        <v>1</v>
      </c>
      <c r="D180" s="5">
        <v>19.989999999999998</v>
      </c>
      <c r="E180" s="4">
        <v>10008575000</v>
      </c>
      <c r="F180" s="3" t="s">
        <v>6300</v>
      </c>
      <c r="G180" s="7" t="s">
        <v>6252</v>
      </c>
      <c r="H180" s="3" t="s">
        <v>6652</v>
      </c>
      <c r="I180" s="3" t="s">
        <v>6686</v>
      </c>
      <c r="J180" s="3" t="s">
        <v>5536</v>
      </c>
      <c r="K180" s="3" t="s">
        <v>6316</v>
      </c>
      <c r="L180" s="8" t="str">
        <f>HYPERLINK("http://slimages.macys.com/is/image/MCY/15899453 ")</f>
        <v xml:space="preserve">http://slimages.macys.com/is/image/MCY/15899453 </v>
      </c>
    </row>
    <row r="181" spans="1:12" ht="24.75" x14ac:dyDescent="0.25">
      <c r="A181" s="6" t="s">
        <v>5161</v>
      </c>
      <c r="B181" s="3" t="s">
        <v>5149</v>
      </c>
      <c r="C181" s="4">
        <v>1</v>
      </c>
      <c r="D181" s="5">
        <v>19.989999999999998</v>
      </c>
      <c r="E181" s="4">
        <v>10008453900</v>
      </c>
      <c r="F181" s="3" t="s">
        <v>5532</v>
      </c>
      <c r="G181" s="7" t="s">
        <v>6252</v>
      </c>
      <c r="H181" s="3" t="s">
        <v>6652</v>
      </c>
      <c r="I181" s="3" t="s">
        <v>6681</v>
      </c>
      <c r="J181" s="3" t="s">
        <v>5536</v>
      </c>
      <c r="K181" s="3" t="s">
        <v>6316</v>
      </c>
      <c r="L181" s="8" t="str">
        <f>HYPERLINK("http://slimages.macys.com/is/image/MCY/15916956 ")</f>
        <v xml:space="preserve">http://slimages.macys.com/is/image/MCY/15916956 </v>
      </c>
    </row>
    <row r="182" spans="1:12" ht="24.75" x14ac:dyDescent="0.25">
      <c r="A182" s="6" t="s">
        <v>6727</v>
      </c>
      <c r="B182" s="3" t="s">
        <v>6688</v>
      </c>
      <c r="C182" s="4">
        <v>1</v>
      </c>
      <c r="D182" s="5">
        <v>19.989999999999998</v>
      </c>
      <c r="E182" s="4">
        <v>10008575200</v>
      </c>
      <c r="F182" s="3" t="s">
        <v>5625</v>
      </c>
      <c r="G182" s="7" t="s">
        <v>6252</v>
      </c>
      <c r="H182" s="3" t="s">
        <v>6652</v>
      </c>
      <c r="I182" s="3" t="s">
        <v>6686</v>
      </c>
      <c r="J182" s="3" t="s">
        <v>5536</v>
      </c>
      <c r="K182" s="3" t="s">
        <v>6316</v>
      </c>
      <c r="L182" s="8" t="str">
        <f>HYPERLINK("http://slimages.macys.com/is/image/MCY/15899484 ")</f>
        <v xml:space="preserve">http://slimages.macys.com/is/image/MCY/15899484 </v>
      </c>
    </row>
    <row r="183" spans="1:12" ht="24.75" x14ac:dyDescent="0.25">
      <c r="A183" s="6" t="s">
        <v>5182</v>
      </c>
      <c r="B183" s="3" t="s">
        <v>6750</v>
      </c>
      <c r="C183" s="4">
        <v>1</v>
      </c>
      <c r="D183" s="5">
        <v>20</v>
      </c>
      <c r="E183" s="4" t="s">
        <v>6751</v>
      </c>
      <c r="F183" s="3" t="s">
        <v>5532</v>
      </c>
      <c r="G183" s="7" t="s">
        <v>5598</v>
      </c>
      <c r="H183" s="3" t="s">
        <v>6492</v>
      </c>
      <c r="I183" s="3" t="s">
        <v>6604</v>
      </c>
      <c r="J183" s="3" t="s">
        <v>5536</v>
      </c>
      <c r="K183" s="3" t="s">
        <v>5549</v>
      </c>
      <c r="L183" s="8" t="str">
        <f>HYPERLINK("http://slimages.macys.com/is/image/MCY/15851384 ")</f>
        <v xml:space="preserve">http://slimages.macys.com/is/image/MCY/15851384 </v>
      </c>
    </row>
    <row r="184" spans="1:12" ht="24.75" x14ac:dyDescent="0.25">
      <c r="A184" s="6" t="s">
        <v>1405</v>
      </c>
      <c r="B184" s="3" t="s">
        <v>5185</v>
      </c>
      <c r="C184" s="4">
        <v>1</v>
      </c>
      <c r="D184" s="5">
        <v>12.99</v>
      </c>
      <c r="E184" s="4" t="s">
        <v>5186</v>
      </c>
      <c r="F184" s="3" t="s">
        <v>5578</v>
      </c>
      <c r="G184" s="7" t="s">
        <v>5777</v>
      </c>
      <c r="H184" s="3" t="s">
        <v>5825</v>
      </c>
      <c r="I184" s="3" t="s">
        <v>5826</v>
      </c>
      <c r="J184" s="3" t="s">
        <v>5536</v>
      </c>
      <c r="K184" s="3" t="s">
        <v>6610</v>
      </c>
      <c r="L184" s="8" t="str">
        <f>HYPERLINK("http://slimages.macys.com/is/image/MCY/10469369 ")</f>
        <v xml:space="preserve">http://slimages.macys.com/is/image/MCY/10469369 </v>
      </c>
    </row>
    <row r="185" spans="1:12" x14ac:dyDescent="0.25">
      <c r="A185" s="6" t="s">
        <v>1406</v>
      </c>
      <c r="B185" s="3" t="s">
        <v>1407</v>
      </c>
      <c r="C185" s="4">
        <v>1</v>
      </c>
      <c r="D185" s="5">
        <v>21.99</v>
      </c>
      <c r="E185" s="4" t="s">
        <v>1408</v>
      </c>
      <c r="F185" s="3" t="s">
        <v>5578</v>
      </c>
      <c r="G185" s="7" t="s">
        <v>5533</v>
      </c>
      <c r="H185" s="3" t="s">
        <v>6003</v>
      </c>
      <c r="I185" s="3" t="s">
        <v>6004</v>
      </c>
      <c r="J185" s="3" t="s">
        <v>5536</v>
      </c>
      <c r="K185" s="3" t="s">
        <v>5574</v>
      </c>
      <c r="L185" s="8" t="str">
        <f>HYPERLINK("http://slimages.macys.com/is/image/MCY/14412331 ")</f>
        <v xml:space="preserve">http://slimages.macys.com/is/image/MCY/14412331 </v>
      </c>
    </row>
    <row r="186" spans="1:12" ht="24.75" x14ac:dyDescent="0.25">
      <c r="A186" s="6" t="s">
        <v>3352</v>
      </c>
      <c r="B186" s="3" t="s">
        <v>6846</v>
      </c>
      <c r="C186" s="4">
        <v>1</v>
      </c>
      <c r="D186" s="5">
        <v>13.99</v>
      </c>
      <c r="E186" s="4" t="s">
        <v>6847</v>
      </c>
      <c r="F186" s="3" t="s">
        <v>5783</v>
      </c>
      <c r="G186" s="7" t="s">
        <v>6848</v>
      </c>
      <c r="H186" s="3" t="s">
        <v>5794</v>
      </c>
      <c r="I186" s="3" t="s">
        <v>6849</v>
      </c>
      <c r="J186" s="3" t="s">
        <v>5536</v>
      </c>
      <c r="K186" s="3" t="s">
        <v>6850</v>
      </c>
      <c r="L186" s="8" t="str">
        <f>HYPERLINK("http://slimages.macys.com/is/image/MCY/14816336 ")</f>
        <v xml:space="preserve">http://slimages.macys.com/is/image/MCY/14816336 </v>
      </c>
    </row>
    <row r="187" spans="1:12" ht="24.75" x14ac:dyDescent="0.25">
      <c r="A187" s="6" t="s">
        <v>6845</v>
      </c>
      <c r="B187" s="3" t="s">
        <v>6846</v>
      </c>
      <c r="C187" s="4">
        <v>1</v>
      </c>
      <c r="D187" s="5">
        <v>13.99</v>
      </c>
      <c r="E187" s="4" t="s">
        <v>6847</v>
      </c>
      <c r="F187" s="3" t="s">
        <v>5977</v>
      </c>
      <c r="G187" s="7" t="s">
        <v>6848</v>
      </c>
      <c r="H187" s="3" t="s">
        <v>5794</v>
      </c>
      <c r="I187" s="3" t="s">
        <v>6849</v>
      </c>
      <c r="J187" s="3" t="s">
        <v>5536</v>
      </c>
      <c r="K187" s="3" t="s">
        <v>6850</v>
      </c>
      <c r="L187" s="8" t="str">
        <f>HYPERLINK("http://slimages.macys.com/is/image/MCY/14816336 ")</f>
        <v xml:space="preserve">http://slimages.macys.com/is/image/MCY/14816336 </v>
      </c>
    </row>
    <row r="188" spans="1:12" ht="24.75" x14ac:dyDescent="0.25">
      <c r="A188" s="6" t="s">
        <v>5194</v>
      </c>
      <c r="B188" s="3" t="s">
        <v>5195</v>
      </c>
      <c r="C188" s="4">
        <v>1</v>
      </c>
      <c r="D188" s="5">
        <v>11</v>
      </c>
      <c r="E188" s="4" t="s">
        <v>5196</v>
      </c>
      <c r="F188" s="3" t="s">
        <v>5540</v>
      </c>
      <c r="G188" s="7" t="s">
        <v>5898</v>
      </c>
      <c r="H188" s="3" t="s">
        <v>6515</v>
      </c>
      <c r="I188" s="3" t="s">
        <v>6066</v>
      </c>
      <c r="J188" s="3" t="s">
        <v>5536</v>
      </c>
      <c r="K188" s="3" t="s">
        <v>6642</v>
      </c>
      <c r="L188" s="8" t="str">
        <f>HYPERLINK("http://slimages.macys.com/is/image/MCY/14574321 ")</f>
        <v xml:space="preserve">http://slimages.macys.com/is/image/MCY/14574321 </v>
      </c>
    </row>
    <row r="189" spans="1:12" ht="24.75" x14ac:dyDescent="0.25">
      <c r="A189" s="6" t="s">
        <v>5197</v>
      </c>
      <c r="B189" s="3" t="s">
        <v>5198</v>
      </c>
      <c r="C189" s="4">
        <v>1</v>
      </c>
      <c r="D189" s="5">
        <v>14</v>
      </c>
      <c r="E189" s="4" t="s">
        <v>5199</v>
      </c>
      <c r="F189" s="3" t="s">
        <v>5540</v>
      </c>
      <c r="G189" s="7" t="s">
        <v>5898</v>
      </c>
      <c r="H189" s="3" t="s">
        <v>6515</v>
      </c>
      <c r="I189" s="3" t="s">
        <v>6066</v>
      </c>
      <c r="J189" s="3" t="s">
        <v>5536</v>
      </c>
      <c r="K189" s="3" t="s">
        <v>5984</v>
      </c>
      <c r="L189" s="8" t="str">
        <f>HYPERLINK("http://slimages.macys.com/is/image/MCY/14574354 ")</f>
        <v xml:space="preserve">http://slimages.macys.com/is/image/MCY/14574354 </v>
      </c>
    </row>
    <row r="190" spans="1:12" ht="24.75" x14ac:dyDescent="0.25">
      <c r="A190" s="6" t="s">
        <v>5200</v>
      </c>
      <c r="B190" s="3" t="s">
        <v>6902</v>
      </c>
      <c r="C190" s="4">
        <v>6</v>
      </c>
      <c r="D190" s="5">
        <v>84</v>
      </c>
      <c r="E190" s="4" t="s">
        <v>6903</v>
      </c>
      <c r="F190" s="3" t="s">
        <v>5540</v>
      </c>
      <c r="G190" s="7" t="s">
        <v>5898</v>
      </c>
      <c r="H190" s="3" t="s">
        <v>6515</v>
      </c>
      <c r="I190" s="3" t="s">
        <v>6066</v>
      </c>
      <c r="J190" s="3" t="s">
        <v>5536</v>
      </c>
      <c r="K190" s="3" t="s">
        <v>5984</v>
      </c>
      <c r="L190" s="8" t="str">
        <f>HYPERLINK("http://slimages.macys.com/is/image/MCY/8853222 ")</f>
        <v xml:space="preserve">http://slimages.macys.com/is/image/MCY/8853222 </v>
      </c>
    </row>
    <row r="191" spans="1:12" ht="24.75" x14ac:dyDescent="0.25">
      <c r="A191" s="6" t="s">
        <v>6901</v>
      </c>
      <c r="B191" s="3" t="s">
        <v>6902</v>
      </c>
      <c r="C191" s="4">
        <v>5</v>
      </c>
      <c r="D191" s="5">
        <v>70</v>
      </c>
      <c r="E191" s="4" t="s">
        <v>6903</v>
      </c>
      <c r="F191" s="3" t="s">
        <v>5803</v>
      </c>
      <c r="G191" s="7" t="s">
        <v>5898</v>
      </c>
      <c r="H191" s="3" t="s">
        <v>6515</v>
      </c>
      <c r="I191" s="3" t="s">
        <v>6066</v>
      </c>
      <c r="J191" s="3" t="s">
        <v>5536</v>
      </c>
      <c r="K191" s="3" t="s">
        <v>5984</v>
      </c>
      <c r="L191" s="8" t="str">
        <f>HYPERLINK("http://slimages.macys.com/is/image/MCY/8853222 ")</f>
        <v xml:space="preserve">http://slimages.macys.com/is/image/MCY/8853222 </v>
      </c>
    </row>
    <row r="192" spans="1:12" ht="24.75" x14ac:dyDescent="0.25">
      <c r="A192" s="6" t="s">
        <v>1409</v>
      </c>
      <c r="B192" s="3" t="s">
        <v>1410</v>
      </c>
      <c r="C192" s="4">
        <v>1</v>
      </c>
      <c r="D192" s="5">
        <v>20</v>
      </c>
      <c r="E192" s="4" t="s">
        <v>1411</v>
      </c>
      <c r="F192" s="3" t="s">
        <v>5540</v>
      </c>
      <c r="G192" s="7" t="s">
        <v>5533</v>
      </c>
      <c r="H192" s="3" t="s">
        <v>6492</v>
      </c>
      <c r="I192" s="3" t="s">
        <v>6493</v>
      </c>
      <c r="J192" s="3" t="s">
        <v>5536</v>
      </c>
      <c r="K192" s="3" t="s">
        <v>5594</v>
      </c>
      <c r="L192" s="8" t="str">
        <f>HYPERLINK("http://slimages.macys.com/is/image/MCY/13586165 ")</f>
        <v xml:space="preserve">http://slimages.macys.com/is/image/MCY/13586165 </v>
      </c>
    </row>
    <row r="193" spans="1:12" ht="24.75" x14ac:dyDescent="0.25">
      <c r="A193" s="6" t="s">
        <v>1412</v>
      </c>
      <c r="B193" s="3" t="s">
        <v>1413</v>
      </c>
      <c r="C193" s="4">
        <v>1</v>
      </c>
      <c r="D193" s="5">
        <v>20</v>
      </c>
      <c r="E193" s="4" t="s">
        <v>1414</v>
      </c>
      <c r="F193" s="3" t="s">
        <v>5552</v>
      </c>
      <c r="G193" s="7" t="s">
        <v>5560</v>
      </c>
      <c r="H193" s="3" t="s">
        <v>6492</v>
      </c>
      <c r="I193" s="3" t="s">
        <v>6493</v>
      </c>
      <c r="J193" s="3" t="s">
        <v>5536</v>
      </c>
      <c r="K193" s="3" t="s">
        <v>5574</v>
      </c>
      <c r="L193" s="8" t="str">
        <f>HYPERLINK("http://slimages.macys.com/is/image/MCY/13586157 ")</f>
        <v xml:space="preserve">http://slimages.macys.com/is/image/MCY/13586157 </v>
      </c>
    </row>
    <row r="194" spans="1:12" ht="24.75" x14ac:dyDescent="0.25">
      <c r="A194" s="6" t="s">
        <v>1415</v>
      </c>
      <c r="B194" s="3" t="s">
        <v>1413</v>
      </c>
      <c r="C194" s="4">
        <v>1</v>
      </c>
      <c r="D194" s="5">
        <v>20</v>
      </c>
      <c r="E194" s="4" t="s">
        <v>1414</v>
      </c>
      <c r="F194" s="3" t="s">
        <v>5552</v>
      </c>
      <c r="G194" s="7" t="s">
        <v>5533</v>
      </c>
      <c r="H194" s="3" t="s">
        <v>6492</v>
      </c>
      <c r="I194" s="3" t="s">
        <v>6493</v>
      </c>
      <c r="J194" s="3" t="s">
        <v>5536</v>
      </c>
      <c r="K194" s="3" t="s">
        <v>5574</v>
      </c>
      <c r="L194" s="8" t="str">
        <f>HYPERLINK("http://slimages.macys.com/is/image/MCY/13586157 ")</f>
        <v xml:space="preserve">http://slimages.macys.com/is/image/MCY/13586157 </v>
      </c>
    </row>
    <row r="195" spans="1:12" ht="24.75" x14ac:dyDescent="0.25">
      <c r="A195" s="6" t="s">
        <v>1134</v>
      </c>
      <c r="B195" s="3" t="s">
        <v>1135</v>
      </c>
      <c r="C195" s="4">
        <v>1</v>
      </c>
      <c r="D195" s="5">
        <v>11</v>
      </c>
      <c r="E195" s="4" t="s">
        <v>1136</v>
      </c>
      <c r="F195" s="3" t="s">
        <v>5540</v>
      </c>
      <c r="G195" s="7" t="s">
        <v>5898</v>
      </c>
      <c r="H195" s="3" t="s">
        <v>6515</v>
      </c>
      <c r="I195" s="3" t="s">
        <v>6004</v>
      </c>
      <c r="J195" s="3" t="s">
        <v>5536</v>
      </c>
      <c r="K195" s="3" t="s">
        <v>1137</v>
      </c>
      <c r="L195" s="8" t="str">
        <f>HYPERLINK("http://slimages.macys.com/is/image/MCY/14574085 ")</f>
        <v xml:space="preserve">http://slimages.macys.com/is/image/MCY/14574085 </v>
      </c>
    </row>
    <row r="196" spans="1:12" ht="24.75" x14ac:dyDescent="0.25">
      <c r="A196" s="6" t="s">
        <v>1416</v>
      </c>
      <c r="B196" s="3" t="s">
        <v>1135</v>
      </c>
      <c r="C196" s="4">
        <v>1</v>
      </c>
      <c r="D196" s="5">
        <v>11</v>
      </c>
      <c r="E196" s="4" t="s">
        <v>1136</v>
      </c>
      <c r="F196" s="3" t="s">
        <v>5552</v>
      </c>
      <c r="G196" s="7" t="s">
        <v>5898</v>
      </c>
      <c r="H196" s="3" t="s">
        <v>6515</v>
      </c>
      <c r="I196" s="3" t="s">
        <v>6004</v>
      </c>
      <c r="J196" s="3" t="s">
        <v>5536</v>
      </c>
      <c r="K196" s="3" t="s">
        <v>1137</v>
      </c>
      <c r="L196" s="8" t="str">
        <f>HYPERLINK("http://slimages.macys.com/is/image/MCY/14574085 ")</f>
        <v xml:space="preserve">http://slimages.macys.com/is/image/MCY/14574085 </v>
      </c>
    </row>
    <row r="197" spans="1:12" ht="36.75" x14ac:dyDescent="0.25">
      <c r="A197" s="6" t="s">
        <v>1417</v>
      </c>
      <c r="B197" s="3" t="s">
        <v>6916</v>
      </c>
      <c r="C197" s="4">
        <v>1</v>
      </c>
      <c r="D197" s="5">
        <v>9.99</v>
      </c>
      <c r="E197" s="4" t="s">
        <v>6917</v>
      </c>
      <c r="F197" s="3" t="s">
        <v>5532</v>
      </c>
      <c r="G197" s="7" t="s">
        <v>5596</v>
      </c>
      <c r="H197" s="3" t="s">
        <v>6430</v>
      </c>
      <c r="I197" s="3" t="s">
        <v>6431</v>
      </c>
      <c r="J197" s="3" t="s">
        <v>5536</v>
      </c>
      <c r="K197" s="3" t="s">
        <v>5574</v>
      </c>
      <c r="L197" s="8" t="str">
        <f>HYPERLINK("http://slimages.macys.com/is/image/MCY/15509348 ")</f>
        <v xml:space="preserve">http://slimages.macys.com/is/image/MCY/15509348 </v>
      </c>
    </row>
    <row r="198" spans="1:12" ht="36.75" x14ac:dyDescent="0.25">
      <c r="A198" s="6" t="s">
        <v>1418</v>
      </c>
      <c r="B198" s="3" t="s">
        <v>6913</v>
      </c>
      <c r="C198" s="4">
        <v>1</v>
      </c>
      <c r="D198" s="5">
        <v>9.99</v>
      </c>
      <c r="E198" s="4" t="s">
        <v>6914</v>
      </c>
      <c r="F198" s="3" t="s">
        <v>5625</v>
      </c>
      <c r="G198" s="7" t="s">
        <v>5596</v>
      </c>
      <c r="H198" s="3" t="s">
        <v>6430</v>
      </c>
      <c r="I198" s="3" t="s">
        <v>6431</v>
      </c>
      <c r="J198" s="3" t="s">
        <v>5536</v>
      </c>
      <c r="K198" s="3" t="s">
        <v>5574</v>
      </c>
      <c r="L198" s="8" t="str">
        <f>HYPERLINK("http://slimages.macys.com/is/image/MCY/15550079 ")</f>
        <v xml:space="preserve">http://slimages.macys.com/is/image/MCY/15550079 </v>
      </c>
    </row>
    <row r="199" spans="1:12" ht="24.75" x14ac:dyDescent="0.25">
      <c r="A199" s="6" t="s">
        <v>5206</v>
      </c>
      <c r="B199" s="3" t="s">
        <v>6936</v>
      </c>
      <c r="C199" s="4">
        <v>4</v>
      </c>
      <c r="D199" s="5">
        <v>44</v>
      </c>
      <c r="E199" s="4" t="s">
        <v>6937</v>
      </c>
      <c r="F199" s="3" t="s">
        <v>5540</v>
      </c>
      <c r="G199" s="7" t="s">
        <v>5898</v>
      </c>
      <c r="H199" s="3" t="s">
        <v>6515</v>
      </c>
      <c r="I199" s="3" t="s">
        <v>6066</v>
      </c>
      <c r="J199" s="3" t="s">
        <v>5536</v>
      </c>
      <c r="K199" s="3" t="s">
        <v>5984</v>
      </c>
      <c r="L199" s="8" t="str">
        <f>HYPERLINK("http://slimages.macys.com/is/image/MCY/14574814 ")</f>
        <v xml:space="preserve">http://slimages.macys.com/is/image/MCY/14574814 </v>
      </c>
    </row>
    <row r="200" spans="1:12" ht="24.75" x14ac:dyDescent="0.25">
      <c r="A200" s="6" t="s">
        <v>6938</v>
      </c>
      <c r="B200" s="3" t="s">
        <v>6939</v>
      </c>
      <c r="C200" s="4">
        <v>5</v>
      </c>
      <c r="D200" s="5">
        <v>55</v>
      </c>
      <c r="E200" s="4" t="s">
        <v>6940</v>
      </c>
      <c r="F200" s="3" t="s">
        <v>5803</v>
      </c>
      <c r="G200" s="7" t="s">
        <v>5898</v>
      </c>
      <c r="H200" s="3" t="s">
        <v>6515</v>
      </c>
      <c r="I200" s="3" t="s">
        <v>6066</v>
      </c>
      <c r="J200" s="3" t="s">
        <v>5536</v>
      </c>
      <c r="K200" s="3" t="s">
        <v>6941</v>
      </c>
      <c r="L200" s="8" t="str">
        <f>HYPERLINK("http://slimages.macys.com/is/image/MCY/8853210 ")</f>
        <v xml:space="preserve">http://slimages.macys.com/is/image/MCY/8853210 </v>
      </c>
    </row>
    <row r="201" spans="1:12" ht="24.75" x14ac:dyDescent="0.25">
      <c r="A201" s="6" t="s">
        <v>6942</v>
      </c>
      <c r="B201" s="3" t="s">
        <v>6939</v>
      </c>
      <c r="C201" s="4">
        <v>10</v>
      </c>
      <c r="D201" s="5">
        <v>110</v>
      </c>
      <c r="E201" s="4" t="s">
        <v>6940</v>
      </c>
      <c r="F201" s="3" t="s">
        <v>5540</v>
      </c>
      <c r="G201" s="7" t="s">
        <v>5898</v>
      </c>
      <c r="H201" s="3" t="s">
        <v>6515</v>
      </c>
      <c r="I201" s="3" t="s">
        <v>6066</v>
      </c>
      <c r="J201" s="3" t="s">
        <v>5536</v>
      </c>
      <c r="K201" s="3" t="s">
        <v>6941</v>
      </c>
      <c r="L201" s="8" t="str">
        <f>HYPERLINK("http://slimages.macys.com/is/image/MCY/8853210 ")</f>
        <v xml:space="preserve">http://slimages.macys.com/is/image/MCY/8853210 </v>
      </c>
    </row>
    <row r="202" spans="1:12" x14ac:dyDescent="0.25">
      <c r="A202" s="6" t="s">
        <v>1419</v>
      </c>
      <c r="B202" s="3" t="s">
        <v>2611</v>
      </c>
      <c r="C202" s="4">
        <v>1</v>
      </c>
      <c r="D202" s="5">
        <v>12.99</v>
      </c>
      <c r="E202" s="4">
        <v>100008411</v>
      </c>
      <c r="F202" s="3" t="s">
        <v>5783</v>
      </c>
      <c r="G202" s="7" t="s">
        <v>5533</v>
      </c>
      <c r="H202" s="3" t="s">
        <v>6003</v>
      </c>
      <c r="I202" s="3" t="s">
        <v>6004</v>
      </c>
      <c r="J202" s="3" t="s">
        <v>5536</v>
      </c>
      <c r="K202" s="3" t="s">
        <v>5594</v>
      </c>
      <c r="L202" s="8" t="str">
        <f>HYPERLINK("http://slimages.macys.com/is/image/MCY/11688867 ")</f>
        <v xml:space="preserve">http://slimages.macys.com/is/image/MCY/11688867 </v>
      </c>
    </row>
    <row r="203" spans="1:12" ht="24.75" x14ac:dyDescent="0.25">
      <c r="A203" s="6" t="s">
        <v>6995</v>
      </c>
      <c r="B203" s="3" t="s">
        <v>6985</v>
      </c>
      <c r="C203" s="4">
        <v>2</v>
      </c>
      <c r="D203" s="5">
        <v>10</v>
      </c>
      <c r="E203" s="4" t="s">
        <v>6986</v>
      </c>
      <c r="F203" s="3" t="s">
        <v>5661</v>
      </c>
      <c r="G203" s="7" t="s">
        <v>5898</v>
      </c>
      <c r="H203" s="3" t="s">
        <v>6632</v>
      </c>
      <c r="I203" s="3" t="s">
        <v>6969</v>
      </c>
      <c r="J203" s="3" t="s">
        <v>5536</v>
      </c>
      <c r="K203" s="3" t="s">
        <v>6974</v>
      </c>
      <c r="L203" s="8" t="str">
        <f>HYPERLINK("http://slimages.macys.com/is/image/MCY/9843724 ")</f>
        <v xml:space="preserve">http://slimages.macys.com/is/image/MCY/9843724 </v>
      </c>
    </row>
    <row r="204" spans="1:12" ht="24.75" x14ac:dyDescent="0.25">
      <c r="A204" s="6" t="s">
        <v>6991</v>
      </c>
      <c r="B204" s="3" t="s">
        <v>6992</v>
      </c>
      <c r="C204" s="4">
        <v>1</v>
      </c>
      <c r="D204" s="5">
        <v>5</v>
      </c>
      <c r="E204" s="4" t="s">
        <v>6993</v>
      </c>
      <c r="F204" s="3" t="s">
        <v>5604</v>
      </c>
      <c r="G204" s="7" t="s">
        <v>5898</v>
      </c>
      <c r="H204" s="3" t="s">
        <v>6632</v>
      </c>
      <c r="I204" s="3" t="s">
        <v>6969</v>
      </c>
      <c r="J204" s="3" t="s">
        <v>5536</v>
      </c>
      <c r="K204" s="3" t="s">
        <v>6994</v>
      </c>
      <c r="L204" s="8" t="str">
        <f>HYPERLINK("http://slimages.macys.com/is/image/MCY/14345413 ")</f>
        <v xml:space="preserve">http://slimages.macys.com/is/image/MCY/14345413 </v>
      </c>
    </row>
    <row r="205" spans="1:12" ht="24.75" x14ac:dyDescent="0.25">
      <c r="A205" s="6" t="s">
        <v>6971</v>
      </c>
      <c r="B205" s="3" t="s">
        <v>6972</v>
      </c>
      <c r="C205" s="4">
        <v>1</v>
      </c>
      <c r="D205" s="5">
        <v>5</v>
      </c>
      <c r="E205" s="4" t="s">
        <v>6973</v>
      </c>
      <c r="F205" s="3" t="s">
        <v>5783</v>
      </c>
      <c r="G205" s="7" t="s">
        <v>5898</v>
      </c>
      <c r="H205" s="3" t="s">
        <v>6632</v>
      </c>
      <c r="I205" s="3" t="s">
        <v>6969</v>
      </c>
      <c r="J205" s="3" t="s">
        <v>5536</v>
      </c>
      <c r="K205" s="3" t="s">
        <v>6974</v>
      </c>
      <c r="L205" s="8" t="str">
        <f>HYPERLINK("http://slimages.macys.com/is/image/MCY/14346427 ")</f>
        <v xml:space="preserve">http://slimages.macys.com/is/image/MCY/14346427 </v>
      </c>
    </row>
    <row r="206" spans="1:12" ht="24.75" x14ac:dyDescent="0.25">
      <c r="A206" s="6" t="s">
        <v>6996</v>
      </c>
      <c r="B206" s="3" t="s">
        <v>6985</v>
      </c>
      <c r="C206" s="4">
        <v>1</v>
      </c>
      <c r="D206" s="5">
        <v>5</v>
      </c>
      <c r="E206" s="4" t="s">
        <v>6986</v>
      </c>
      <c r="F206" s="3" t="s">
        <v>5532</v>
      </c>
      <c r="G206" s="7" t="s">
        <v>5898</v>
      </c>
      <c r="H206" s="3" t="s">
        <v>6632</v>
      </c>
      <c r="I206" s="3" t="s">
        <v>6969</v>
      </c>
      <c r="J206" s="3" t="s">
        <v>5536</v>
      </c>
      <c r="K206" s="3" t="s">
        <v>6974</v>
      </c>
      <c r="L206" s="8" t="str">
        <f>HYPERLINK("http://slimages.macys.com/is/image/MCY/9843724 ")</f>
        <v xml:space="preserve">http://slimages.macys.com/is/image/MCY/9843724 </v>
      </c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824"/>
  <sheetViews>
    <sheetView workbookViewId="0">
      <selection activeCell="B24" sqref="B24"/>
    </sheetView>
  </sheetViews>
  <sheetFormatPr defaultRowHeight="15" x14ac:dyDescent="0.25"/>
  <cols>
    <col min="1" max="1" width="14.28515625" customWidth="1"/>
    <col min="2" max="2" width="24.5703125" customWidth="1"/>
    <col min="3" max="3" width="15" customWidth="1"/>
    <col min="4" max="4" width="10.28515625" customWidth="1"/>
    <col min="5" max="5" width="14.285156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48.75" x14ac:dyDescent="0.25">
      <c r="A2" s="6" t="s">
        <v>1420</v>
      </c>
      <c r="B2" s="3" t="s">
        <v>1421</v>
      </c>
      <c r="C2" s="4">
        <v>1</v>
      </c>
      <c r="D2" s="5">
        <v>398</v>
      </c>
      <c r="E2" s="4">
        <v>5041989542600</v>
      </c>
      <c r="F2" s="3" t="s">
        <v>5604</v>
      </c>
      <c r="G2" s="7" t="s">
        <v>4563</v>
      </c>
      <c r="H2" s="3" t="s">
        <v>5223</v>
      </c>
      <c r="I2" s="3" t="s">
        <v>5224</v>
      </c>
      <c r="J2" s="3" t="s">
        <v>5536</v>
      </c>
      <c r="K2" s="3" t="s">
        <v>1422</v>
      </c>
      <c r="L2" s="8" t="str">
        <f>HYPERLINK("http://slimages.macys.com/is/image/MCY/15214146 ")</f>
        <v xml:space="preserve">http://slimages.macys.com/is/image/MCY/15214146 </v>
      </c>
    </row>
    <row r="3" spans="1:12" ht="24.75" x14ac:dyDescent="0.25">
      <c r="A3" s="6" t="s">
        <v>1423</v>
      </c>
      <c r="B3" s="3" t="s">
        <v>1424</v>
      </c>
      <c r="C3" s="4">
        <v>3</v>
      </c>
      <c r="D3" s="5">
        <v>599.97</v>
      </c>
      <c r="E3" s="4" t="s">
        <v>1425</v>
      </c>
      <c r="F3" s="3" t="s">
        <v>5556</v>
      </c>
      <c r="G3" s="7" t="s">
        <v>5596</v>
      </c>
      <c r="H3" s="3" t="s">
        <v>5978</v>
      </c>
      <c r="I3" s="3" t="s">
        <v>5979</v>
      </c>
      <c r="J3" s="3" t="s">
        <v>5536</v>
      </c>
      <c r="K3" s="3" t="s">
        <v>1426</v>
      </c>
      <c r="L3" s="8" t="str">
        <f>HYPERLINK("http://slimages.macys.com/is/image/MCY/15255664 ")</f>
        <v xml:space="preserve">http://slimages.macys.com/is/image/MCY/15255664 </v>
      </c>
    </row>
    <row r="4" spans="1:12" ht="24.75" x14ac:dyDescent="0.25">
      <c r="A4" s="6" t="s">
        <v>5257</v>
      </c>
      <c r="B4" s="3" t="s">
        <v>5258</v>
      </c>
      <c r="C4" s="4">
        <v>1</v>
      </c>
      <c r="D4" s="5">
        <v>166.1</v>
      </c>
      <c r="E4" s="4" t="s">
        <v>5259</v>
      </c>
      <c r="F4" s="3"/>
      <c r="G4" s="7" t="s">
        <v>5562</v>
      </c>
      <c r="H4" s="3" t="s">
        <v>5877</v>
      </c>
      <c r="I4" s="3" t="s">
        <v>7138</v>
      </c>
      <c r="J4" s="3" t="s">
        <v>5536</v>
      </c>
      <c r="K4" s="3" t="s">
        <v>5260</v>
      </c>
      <c r="L4" s="8" t="str">
        <f>HYPERLINK("http://slimages.macys.com/is/image/MCY/15265163 ")</f>
        <v xml:space="preserve">http://slimages.macys.com/is/image/MCY/15265163 </v>
      </c>
    </row>
    <row r="5" spans="1:12" ht="24.75" x14ac:dyDescent="0.25">
      <c r="A5" s="6" t="s">
        <v>1427</v>
      </c>
      <c r="B5" s="3" t="s">
        <v>1428</v>
      </c>
      <c r="C5" s="4">
        <v>1</v>
      </c>
      <c r="D5" s="5">
        <v>110</v>
      </c>
      <c r="E5" s="4">
        <v>711767118001</v>
      </c>
      <c r="F5" s="3" t="s">
        <v>5661</v>
      </c>
      <c r="G5" s="7" t="s">
        <v>1429</v>
      </c>
      <c r="H5" s="3" t="s">
        <v>1430</v>
      </c>
      <c r="I5" s="3" t="s">
        <v>5535</v>
      </c>
      <c r="J5" s="3" t="s">
        <v>5536</v>
      </c>
      <c r="K5" s="3" t="s">
        <v>5594</v>
      </c>
      <c r="L5" s="8" t="str">
        <f>HYPERLINK("http://slimages.macys.com/is/image/MCY/14352290 ")</f>
        <v xml:space="preserve">http://slimages.macys.com/is/image/MCY/14352290 </v>
      </c>
    </row>
    <row r="6" spans="1:12" ht="24.75" x14ac:dyDescent="0.25">
      <c r="A6" s="6" t="s">
        <v>1431</v>
      </c>
      <c r="B6" s="3" t="s">
        <v>1432</v>
      </c>
      <c r="C6" s="4">
        <v>1</v>
      </c>
      <c r="D6" s="5">
        <v>129</v>
      </c>
      <c r="E6" s="4" t="s">
        <v>1433</v>
      </c>
      <c r="F6" s="3" t="s">
        <v>5532</v>
      </c>
      <c r="G6" s="7" t="s">
        <v>5560</v>
      </c>
      <c r="H6" s="3" t="s">
        <v>5715</v>
      </c>
      <c r="I6" s="3" t="s">
        <v>5716</v>
      </c>
      <c r="J6" s="3" t="s">
        <v>5536</v>
      </c>
      <c r="K6" s="3" t="s">
        <v>4535</v>
      </c>
      <c r="L6" s="8" t="str">
        <f>HYPERLINK("http://slimages.macys.com/is/image/MCY/14463650 ")</f>
        <v xml:space="preserve">http://slimages.macys.com/is/image/MCY/14463650 </v>
      </c>
    </row>
    <row r="7" spans="1:12" ht="24.75" x14ac:dyDescent="0.25">
      <c r="A7" s="6" t="s">
        <v>1434</v>
      </c>
      <c r="B7" s="3" t="s">
        <v>5286</v>
      </c>
      <c r="C7" s="4">
        <v>1</v>
      </c>
      <c r="D7" s="5">
        <v>109</v>
      </c>
      <c r="E7" s="4" t="s">
        <v>692</v>
      </c>
      <c r="F7" s="3" t="s">
        <v>5625</v>
      </c>
      <c r="G7" s="7" t="s">
        <v>5582</v>
      </c>
      <c r="H7" s="3" t="s">
        <v>5547</v>
      </c>
      <c r="I7" s="3" t="s">
        <v>5548</v>
      </c>
      <c r="J7" s="3" t="s">
        <v>5536</v>
      </c>
      <c r="K7" s="3" t="s">
        <v>5587</v>
      </c>
      <c r="L7" s="8" t="str">
        <f>HYPERLINK("http://slimages.macys.com/is/image/MCY/15868551 ")</f>
        <v xml:space="preserve">http://slimages.macys.com/is/image/MCY/15868551 </v>
      </c>
    </row>
    <row r="8" spans="1:12" ht="24.75" x14ac:dyDescent="0.25">
      <c r="A8" s="6" t="s">
        <v>1435</v>
      </c>
      <c r="B8" s="3" t="s">
        <v>1436</v>
      </c>
      <c r="C8" s="4">
        <v>1</v>
      </c>
      <c r="D8" s="5">
        <v>127</v>
      </c>
      <c r="E8" s="4" t="s">
        <v>1437</v>
      </c>
      <c r="F8" s="3" t="s">
        <v>5532</v>
      </c>
      <c r="G8" s="7" t="s">
        <v>1438</v>
      </c>
      <c r="H8" s="3" t="s">
        <v>7059</v>
      </c>
      <c r="I8" s="3" t="s">
        <v>5934</v>
      </c>
      <c r="J8" s="3" t="s">
        <v>5536</v>
      </c>
      <c r="K8" s="3" t="s">
        <v>1439</v>
      </c>
      <c r="L8" s="8" t="str">
        <f>HYPERLINK("http://slimages.macys.com/is/image/MCY/11405614 ")</f>
        <v xml:space="preserve">http://slimages.macys.com/is/image/MCY/11405614 </v>
      </c>
    </row>
    <row r="9" spans="1:12" x14ac:dyDescent="0.25">
      <c r="A9" s="6" t="s">
        <v>7045</v>
      </c>
      <c r="B9" s="3" t="s">
        <v>6487</v>
      </c>
      <c r="C9" s="4">
        <v>1</v>
      </c>
      <c r="D9" s="5">
        <v>110</v>
      </c>
      <c r="E9" s="4">
        <v>710701611030</v>
      </c>
      <c r="F9" s="3" t="s">
        <v>5532</v>
      </c>
      <c r="G9" s="7" t="s">
        <v>5533</v>
      </c>
      <c r="H9" s="3" t="s">
        <v>5534</v>
      </c>
      <c r="I9" s="3" t="s">
        <v>5535</v>
      </c>
      <c r="J9" s="3" t="s">
        <v>5536</v>
      </c>
      <c r="K9" s="3" t="s">
        <v>5553</v>
      </c>
      <c r="L9" s="8" t="str">
        <f>HYPERLINK("http://slimages.macys.com/is/image/MCY/10002586 ")</f>
        <v xml:space="preserve">http://slimages.macys.com/is/image/MCY/10002586 </v>
      </c>
    </row>
    <row r="10" spans="1:12" ht="24.75" x14ac:dyDescent="0.25">
      <c r="A10" s="6" t="s">
        <v>1440</v>
      </c>
      <c r="B10" s="3" t="s">
        <v>6487</v>
      </c>
      <c r="C10" s="4">
        <v>1</v>
      </c>
      <c r="D10" s="5">
        <v>110</v>
      </c>
      <c r="E10" s="4">
        <v>710701611035</v>
      </c>
      <c r="F10" s="3" t="s">
        <v>5546</v>
      </c>
      <c r="G10" s="7" t="s">
        <v>5598</v>
      </c>
      <c r="H10" s="3" t="s">
        <v>5534</v>
      </c>
      <c r="I10" s="3" t="s">
        <v>5535</v>
      </c>
      <c r="J10" s="3" t="s">
        <v>5536</v>
      </c>
      <c r="K10" s="3" t="s">
        <v>5553</v>
      </c>
      <c r="L10" s="8" t="str">
        <f>HYPERLINK("http://slimages.macys.com/is/image/MCY/10002586 ")</f>
        <v xml:space="preserve">http://slimages.macys.com/is/image/MCY/10002586 </v>
      </c>
    </row>
    <row r="11" spans="1:12" ht="36.75" x14ac:dyDescent="0.25">
      <c r="A11" s="6" t="s">
        <v>1441</v>
      </c>
      <c r="B11" s="3" t="s">
        <v>1442</v>
      </c>
      <c r="C11" s="4">
        <v>1</v>
      </c>
      <c r="D11" s="5">
        <v>110</v>
      </c>
      <c r="E11" s="4">
        <v>710761073001</v>
      </c>
      <c r="F11" s="3" t="s">
        <v>5783</v>
      </c>
      <c r="G11" s="7" t="s">
        <v>5596</v>
      </c>
      <c r="H11" s="3" t="s">
        <v>5534</v>
      </c>
      <c r="I11" s="3" t="s">
        <v>5535</v>
      </c>
      <c r="J11" s="3" t="s">
        <v>5536</v>
      </c>
      <c r="K11" s="3" t="s">
        <v>1443</v>
      </c>
      <c r="L11" s="8" t="str">
        <f>HYPERLINK("http://slimages.macys.com/is/image/MCY/14361565 ")</f>
        <v xml:space="preserve">http://slimages.macys.com/is/image/MCY/14361565 </v>
      </c>
    </row>
    <row r="12" spans="1:12" ht="24.75" x14ac:dyDescent="0.25">
      <c r="A12" s="6" t="s">
        <v>1444</v>
      </c>
      <c r="B12" s="3" t="s">
        <v>5286</v>
      </c>
      <c r="C12" s="4">
        <v>1</v>
      </c>
      <c r="D12" s="5">
        <v>99</v>
      </c>
      <c r="E12" s="4" t="s">
        <v>5287</v>
      </c>
      <c r="F12" s="3" t="s">
        <v>5625</v>
      </c>
      <c r="G12" s="7"/>
      <c r="H12" s="3" t="s">
        <v>5547</v>
      </c>
      <c r="I12" s="3" t="s">
        <v>5548</v>
      </c>
      <c r="J12" s="3" t="s">
        <v>5536</v>
      </c>
      <c r="K12" s="3" t="s">
        <v>5587</v>
      </c>
      <c r="L12" s="8" t="str">
        <f>HYPERLINK("http://slimages.macys.com/is/image/MCY/15868652 ")</f>
        <v xml:space="preserve">http://slimages.macys.com/is/image/MCY/15868652 </v>
      </c>
    </row>
    <row r="13" spans="1:12" ht="24.75" x14ac:dyDescent="0.25">
      <c r="A13" s="6" t="s">
        <v>1445</v>
      </c>
      <c r="B13" s="3" t="s">
        <v>1446</v>
      </c>
      <c r="C13" s="4">
        <v>1</v>
      </c>
      <c r="D13" s="5">
        <v>99</v>
      </c>
      <c r="E13" s="4" t="s">
        <v>1447</v>
      </c>
      <c r="F13" s="3" t="s">
        <v>5572</v>
      </c>
      <c r="G13" s="7" t="s">
        <v>5707</v>
      </c>
      <c r="H13" s="3" t="s">
        <v>5547</v>
      </c>
      <c r="I13" s="3" t="s">
        <v>5548</v>
      </c>
      <c r="J13" s="3" t="s">
        <v>5536</v>
      </c>
      <c r="K13" s="3" t="s">
        <v>6021</v>
      </c>
      <c r="L13" s="8" t="str">
        <f>HYPERLINK("http://slimages.macys.com/is/image/MCY/16070249 ")</f>
        <v xml:space="preserve">http://slimages.macys.com/is/image/MCY/16070249 </v>
      </c>
    </row>
    <row r="14" spans="1:12" ht="24.75" x14ac:dyDescent="0.25">
      <c r="A14" s="6" t="s">
        <v>1448</v>
      </c>
      <c r="B14" s="3" t="s">
        <v>1446</v>
      </c>
      <c r="C14" s="4">
        <v>1</v>
      </c>
      <c r="D14" s="5">
        <v>99</v>
      </c>
      <c r="E14" s="4" t="s">
        <v>1447</v>
      </c>
      <c r="F14" s="3" t="s">
        <v>5572</v>
      </c>
      <c r="G14" s="7" t="s">
        <v>5557</v>
      </c>
      <c r="H14" s="3" t="s">
        <v>5547</v>
      </c>
      <c r="I14" s="3" t="s">
        <v>5548</v>
      </c>
      <c r="J14" s="3" t="s">
        <v>5536</v>
      </c>
      <c r="K14" s="3" t="s">
        <v>6021</v>
      </c>
      <c r="L14" s="8" t="str">
        <f>HYPERLINK("http://slimages.macys.com/is/image/MCY/16070249 ")</f>
        <v xml:space="preserve">http://slimages.macys.com/is/image/MCY/16070249 </v>
      </c>
    </row>
    <row r="15" spans="1:12" ht="24.75" x14ac:dyDescent="0.25">
      <c r="A15" s="6" t="s">
        <v>1449</v>
      </c>
      <c r="B15" s="3" t="s">
        <v>1450</v>
      </c>
      <c r="C15" s="4">
        <v>1</v>
      </c>
      <c r="D15" s="5">
        <v>98.5</v>
      </c>
      <c r="E15" s="4">
        <v>710761083002</v>
      </c>
      <c r="F15" s="3" t="s">
        <v>5540</v>
      </c>
      <c r="G15" s="7" t="s">
        <v>5596</v>
      </c>
      <c r="H15" s="3" t="s">
        <v>5534</v>
      </c>
      <c r="I15" s="3" t="s">
        <v>5535</v>
      </c>
      <c r="J15" s="3" t="s">
        <v>5536</v>
      </c>
      <c r="K15" s="3" t="s">
        <v>5727</v>
      </c>
      <c r="L15" s="8" t="str">
        <f>HYPERLINK("http://slimages.macys.com/is/image/MCY/14361552 ")</f>
        <v xml:space="preserve">http://slimages.macys.com/is/image/MCY/14361552 </v>
      </c>
    </row>
    <row r="16" spans="1:12" ht="24.75" x14ac:dyDescent="0.25">
      <c r="A16" s="6" t="s">
        <v>1451</v>
      </c>
      <c r="B16" s="3" t="s">
        <v>2701</v>
      </c>
      <c r="C16" s="4">
        <v>1</v>
      </c>
      <c r="D16" s="5">
        <v>98.5</v>
      </c>
      <c r="E16" s="4">
        <v>710755395001</v>
      </c>
      <c r="F16" s="3" t="s">
        <v>5661</v>
      </c>
      <c r="G16" s="7" t="s">
        <v>5685</v>
      </c>
      <c r="H16" s="3" t="s">
        <v>5534</v>
      </c>
      <c r="I16" s="3" t="s">
        <v>5535</v>
      </c>
      <c r="J16" s="3" t="s">
        <v>5536</v>
      </c>
      <c r="K16" s="3" t="s">
        <v>5558</v>
      </c>
      <c r="L16" s="8" t="str">
        <f>HYPERLINK("http://slimages.macys.com/is/image/MCY/14412058 ")</f>
        <v xml:space="preserve">http://slimages.macys.com/is/image/MCY/14412058 </v>
      </c>
    </row>
    <row r="17" spans="1:12" x14ac:dyDescent="0.25">
      <c r="A17" s="6" t="s">
        <v>1452</v>
      </c>
      <c r="B17" s="3" t="s">
        <v>1453</v>
      </c>
      <c r="C17" s="4">
        <v>1</v>
      </c>
      <c r="D17" s="5">
        <v>79.989999999999995</v>
      </c>
      <c r="E17" s="4">
        <v>807460000</v>
      </c>
      <c r="F17" s="3" t="s">
        <v>5604</v>
      </c>
      <c r="G17" s="7" t="s">
        <v>5656</v>
      </c>
      <c r="H17" s="3" t="s">
        <v>5606</v>
      </c>
      <c r="I17" s="3" t="s">
        <v>5607</v>
      </c>
      <c r="J17" s="3" t="s">
        <v>5536</v>
      </c>
      <c r="K17" s="3" t="s">
        <v>5558</v>
      </c>
      <c r="L17" s="8" t="str">
        <f>HYPERLINK("http://slimages.macys.com/is/image/MCY/13937327 ")</f>
        <v xml:space="preserve">http://slimages.macys.com/is/image/MCY/13937327 </v>
      </c>
    </row>
    <row r="18" spans="1:12" ht="48.75" x14ac:dyDescent="0.25">
      <c r="A18" s="6" t="s">
        <v>1454</v>
      </c>
      <c r="B18" s="3" t="s">
        <v>1455</v>
      </c>
      <c r="C18" s="4">
        <v>1</v>
      </c>
      <c r="D18" s="5">
        <v>111</v>
      </c>
      <c r="E18" s="4" t="s">
        <v>1456</v>
      </c>
      <c r="F18" s="3" t="s">
        <v>6983</v>
      </c>
      <c r="G18" s="7" t="s">
        <v>5233</v>
      </c>
      <c r="H18" s="3" t="s">
        <v>7059</v>
      </c>
      <c r="I18" s="3" t="s">
        <v>7060</v>
      </c>
      <c r="J18" s="3" t="s">
        <v>5536</v>
      </c>
      <c r="K18" s="3" t="s">
        <v>2681</v>
      </c>
      <c r="L18" s="8" t="str">
        <f>HYPERLINK("http://slimages.macys.com/is/image/MCY/11920801 ")</f>
        <v xml:space="preserve">http://slimages.macys.com/is/image/MCY/11920801 </v>
      </c>
    </row>
    <row r="19" spans="1:12" x14ac:dyDescent="0.25">
      <c r="A19" s="6" t="s">
        <v>1457</v>
      </c>
      <c r="B19" s="3" t="s">
        <v>1458</v>
      </c>
      <c r="C19" s="4">
        <v>2</v>
      </c>
      <c r="D19" s="5">
        <v>299</v>
      </c>
      <c r="E19" s="4">
        <v>100050306</v>
      </c>
      <c r="F19" s="3" t="s">
        <v>5532</v>
      </c>
      <c r="G19" s="7" t="s">
        <v>5533</v>
      </c>
      <c r="H19" s="3" t="s">
        <v>5585</v>
      </c>
      <c r="I19" s="3" t="s">
        <v>5586</v>
      </c>
      <c r="J19" s="3" t="s">
        <v>5536</v>
      </c>
      <c r="K19" s="3" t="s">
        <v>6507</v>
      </c>
      <c r="L19" s="8" t="str">
        <f>HYPERLINK("http://slimages.macys.com/is/image/MCY/15185950 ")</f>
        <v xml:space="preserve">http://slimages.macys.com/is/image/MCY/15185950 </v>
      </c>
    </row>
    <row r="20" spans="1:12" x14ac:dyDescent="0.25">
      <c r="A20" s="6" t="s">
        <v>1459</v>
      </c>
      <c r="B20" s="3" t="s">
        <v>5584</v>
      </c>
      <c r="C20" s="4">
        <v>2</v>
      </c>
      <c r="D20" s="5">
        <v>299</v>
      </c>
      <c r="E20" s="4">
        <v>100075980</v>
      </c>
      <c r="F20" s="3" t="s">
        <v>5532</v>
      </c>
      <c r="G20" s="7" t="s">
        <v>5560</v>
      </c>
      <c r="H20" s="3" t="s">
        <v>5585</v>
      </c>
      <c r="I20" s="3" t="s">
        <v>5586</v>
      </c>
      <c r="J20" s="3" t="s">
        <v>5536</v>
      </c>
      <c r="K20" s="3" t="s">
        <v>5587</v>
      </c>
      <c r="L20" s="8" t="str">
        <f>HYPERLINK("http://slimages.macys.com/is/image/MCY/15328879 ")</f>
        <v xml:space="preserve">http://slimages.macys.com/is/image/MCY/15328879 </v>
      </c>
    </row>
    <row r="21" spans="1:12" ht="24.75" x14ac:dyDescent="0.25">
      <c r="A21" s="6" t="s">
        <v>1460</v>
      </c>
      <c r="B21" s="3" t="s">
        <v>1461</v>
      </c>
      <c r="C21" s="4">
        <v>1</v>
      </c>
      <c r="D21" s="5">
        <v>105</v>
      </c>
      <c r="E21" s="4" t="s">
        <v>1462</v>
      </c>
      <c r="F21" s="3" t="s">
        <v>5540</v>
      </c>
      <c r="G21" s="7" t="s">
        <v>5605</v>
      </c>
      <c r="H21" s="3" t="s">
        <v>7099</v>
      </c>
      <c r="I21" s="3" t="s">
        <v>5934</v>
      </c>
      <c r="J21" s="3" t="s">
        <v>5536</v>
      </c>
      <c r="K21" s="3" t="s">
        <v>4559</v>
      </c>
      <c r="L21" s="8" t="str">
        <f>HYPERLINK("http://slimages.macys.com/is/image/MCY/1573662 ")</f>
        <v xml:space="preserve">http://slimages.macys.com/is/image/MCY/1573662 </v>
      </c>
    </row>
    <row r="22" spans="1:12" ht="24.75" x14ac:dyDescent="0.25">
      <c r="A22" s="6" t="s">
        <v>1463</v>
      </c>
      <c r="B22" s="3" t="s">
        <v>1464</v>
      </c>
      <c r="C22" s="4">
        <v>1</v>
      </c>
      <c r="D22" s="5">
        <v>79</v>
      </c>
      <c r="E22" s="4" t="s">
        <v>1465</v>
      </c>
      <c r="F22" s="3" t="s">
        <v>5546</v>
      </c>
      <c r="G22" s="7" t="s">
        <v>5596</v>
      </c>
      <c r="H22" s="3" t="s">
        <v>5547</v>
      </c>
      <c r="I22" s="3" t="s">
        <v>5548</v>
      </c>
      <c r="J22" s="3" t="s">
        <v>5536</v>
      </c>
      <c r="K22" s="3" t="s">
        <v>5594</v>
      </c>
      <c r="L22" s="8" t="str">
        <f>HYPERLINK("http://slimages.macys.com/is/image/MCY/16015056 ")</f>
        <v xml:space="preserve">http://slimages.macys.com/is/image/MCY/16015056 </v>
      </c>
    </row>
    <row r="23" spans="1:12" ht="48.75" x14ac:dyDescent="0.25">
      <c r="A23" s="6" t="s">
        <v>1466</v>
      </c>
      <c r="B23" s="3" t="s">
        <v>1467</v>
      </c>
      <c r="C23" s="4">
        <v>1</v>
      </c>
      <c r="D23" s="5">
        <v>79</v>
      </c>
      <c r="E23" s="4" t="s">
        <v>1468</v>
      </c>
      <c r="F23" s="3" t="s">
        <v>5578</v>
      </c>
      <c r="G23" s="7" t="s">
        <v>5573</v>
      </c>
      <c r="H23" s="3" t="s">
        <v>5547</v>
      </c>
      <c r="I23" s="3" t="s">
        <v>5548</v>
      </c>
      <c r="J23" s="3" t="s">
        <v>5536</v>
      </c>
      <c r="K23" s="3" t="s">
        <v>1469</v>
      </c>
      <c r="L23" s="8" t="str">
        <f>HYPERLINK("http://slimages.macys.com/is/image/MCY/14468717 ")</f>
        <v xml:space="preserve">http://slimages.macys.com/is/image/MCY/14468717 </v>
      </c>
    </row>
    <row r="24" spans="1:12" ht="24.75" x14ac:dyDescent="0.25">
      <c r="A24" s="6" t="s">
        <v>1470</v>
      </c>
      <c r="B24" s="3" t="s">
        <v>1471</v>
      </c>
      <c r="C24" s="4">
        <v>1</v>
      </c>
      <c r="D24" s="5">
        <v>98</v>
      </c>
      <c r="E24" s="4" t="s">
        <v>1472</v>
      </c>
      <c r="F24" s="3" t="s">
        <v>5578</v>
      </c>
      <c r="G24" s="7" t="s">
        <v>5596</v>
      </c>
      <c r="H24" s="3" t="s">
        <v>1473</v>
      </c>
      <c r="I24" s="3" t="s">
        <v>1474</v>
      </c>
      <c r="J24" s="3" t="s">
        <v>5536</v>
      </c>
      <c r="K24" s="3" t="s">
        <v>6021</v>
      </c>
      <c r="L24" s="8" t="str">
        <f>HYPERLINK("http://slimages.macys.com/is/image/MCY/15860900 ")</f>
        <v xml:space="preserve">http://slimages.macys.com/is/image/MCY/15860900 </v>
      </c>
    </row>
    <row r="25" spans="1:12" ht="24.75" x14ac:dyDescent="0.25">
      <c r="A25" s="6" t="s">
        <v>1475</v>
      </c>
      <c r="B25" s="3" t="s">
        <v>1464</v>
      </c>
      <c r="C25" s="4">
        <v>1</v>
      </c>
      <c r="D25" s="5">
        <v>79</v>
      </c>
      <c r="E25" s="4" t="s">
        <v>1465</v>
      </c>
      <c r="F25" s="3" t="s">
        <v>5546</v>
      </c>
      <c r="G25" s="7" t="s">
        <v>5562</v>
      </c>
      <c r="H25" s="3" t="s">
        <v>5547</v>
      </c>
      <c r="I25" s="3" t="s">
        <v>5548</v>
      </c>
      <c r="J25" s="3" t="s">
        <v>5536</v>
      </c>
      <c r="K25" s="3" t="s">
        <v>5594</v>
      </c>
      <c r="L25" s="8" t="str">
        <f>HYPERLINK("http://slimages.macys.com/is/image/MCY/16015056 ")</f>
        <v xml:space="preserve">http://slimages.macys.com/is/image/MCY/16015056 </v>
      </c>
    </row>
    <row r="26" spans="1:12" ht="48.75" x14ac:dyDescent="0.25">
      <c r="A26" s="6" t="s">
        <v>1476</v>
      </c>
      <c r="B26" s="3" t="s">
        <v>1467</v>
      </c>
      <c r="C26" s="4">
        <v>1</v>
      </c>
      <c r="D26" s="5">
        <v>79</v>
      </c>
      <c r="E26" s="4" t="s">
        <v>1468</v>
      </c>
      <c r="F26" s="3" t="s">
        <v>5578</v>
      </c>
      <c r="G26" s="7" t="s">
        <v>5582</v>
      </c>
      <c r="H26" s="3" t="s">
        <v>5547</v>
      </c>
      <c r="I26" s="3" t="s">
        <v>5548</v>
      </c>
      <c r="J26" s="3" t="s">
        <v>5536</v>
      </c>
      <c r="K26" s="3" t="s">
        <v>1469</v>
      </c>
      <c r="L26" s="8" t="str">
        <f>HYPERLINK("http://slimages.macys.com/is/image/MCY/14468717 ")</f>
        <v xml:space="preserve">http://slimages.macys.com/is/image/MCY/14468717 </v>
      </c>
    </row>
    <row r="27" spans="1:12" ht="48.75" x14ac:dyDescent="0.25">
      <c r="A27" s="6" t="s">
        <v>1477</v>
      </c>
      <c r="B27" s="3" t="s">
        <v>1467</v>
      </c>
      <c r="C27" s="4">
        <v>1</v>
      </c>
      <c r="D27" s="5">
        <v>79</v>
      </c>
      <c r="E27" s="4" t="s">
        <v>1468</v>
      </c>
      <c r="F27" s="3" t="s">
        <v>5578</v>
      </c>
      <c r="G27" s="7" t="s">
        <v>1478</v>
      </c>
      <c r="H27" s="3" t="s">
        <v>5547</v>
      </c>
      <c r="I27" s="3" t="s">
        <v>5548</v>
      </c>
      <c r="J27" s="3" t="s">
        <v>5536</v>
      </c>
      <c r="K27" s="3" t="s">
        <v>1469</v>
      </c>
      <c r="L27" s="8" t="str">
        <f>HYPERLINK("http://slimages.macys.com/is/image/MCY/14468717 ")</f>
        <v xml:space="preserve">http://slimages.macys.com/is/image/MCY/14468717 </v>
      </c>
    </row>
    <row r="28" spans="1:12" ht="24.75" x14ac:dyDescent="0.25">
      <c r="A28" s="6" t="s">
        <v>1479</v>
      </c>
      <c r="B28" s="3" t="s">
        <v>1480</v>
      </c>
      <c r="C28" s="4">
        <v>1</v>
      </c>
      <c r="D28" s="5">
        <v>79</v>
      </c>
      <c r="E28" s="4" t="s">
        <v>1481</v>
      </c>
      <c r="F28" s="3" t="s">
        <v>5625</v>
      </c>
      <c r="G28" s="7" t="s">
        <v>5582</v>
      </c>
      <c r="H28" s="3" t="s">
        <v>5547</v>
      </c>
      <c r="I28" s="3" t="s">
        <v>5548</v>
      </c>
      <c r="J28" s="3" t="s">
        <v>5536</v>
      </c>
      <c r="K28" s="3" t="s">
        <v>5549</v>
      </c>
      <c r="L28" s="8" t="str">
        <f>HYPERLINK("http://slimages.macys.com/is/image/MCY/15440550 ")</f>
        <v xml:space="preserve">http://slimages.macys.com/is/image/MCY/15440550 </v>
      </c>
    </row>
    <row r="29" spans="1:12" ht="24.75" x14ac:dyDescent="0.25">
      <c r="A29" s="6" t="s">
        <v>1482</v>
      </c>
      <c r="B29" s="3" t="s">
        <v>1483</v>
      </c>
      <c r="C29" s="4">
        <v>1</v>
      </c>
      <c r="D29" s="5">
        <v>99.5</v>
      </c>
      <c r="E29" s="4">
        <v>100031346</v>
      </c>
      <c r="F29" s="3" t="s">
        <v>5793</v>
      </c>
      <c r="G29" s="7" t="s">
        <v>5662</v>
      </c>
      <c r="H29" s="3" t="s">
        <v>5955</v>
      </c>
      <c r="I29" s="3" t="s">
        <v>5734</v>
      </c>
      <c r="J29" s="3" t="s">
        <v>5536</v>
      </c>
      <c r="K29" s="3" t="s">
        <v>6021</v>
      </c>
      <c r="L29" s="8" t="str">
        <f>HYPERLINK("http://slimages.macys.com/is/image/MCY/10514489 ")</f>
        <v xml:space="preserve">http://slimages.macys.com/is/image/MCY/10514489 </v>
      </c>
    </row>
    <row r="30" spans="1:12" ht="24.75" x14ac:dyDescent="0.25">
      <c r="A30" s="6" t="s">
        <v>1484</v>
      </c>
      <c r="B30" s="3" t="s">
        <v>1485</v>
      </c>
      <c r="C30" s="4">
        <v>1</v>
      </c>
      <c r="D30" s="5">
        <v>79.5</v>
      </c>
      <c r="E30" s="4" t="s">
        <v>1486</v>
      </c>
      <c r="F30" s="3" t="s">
        <v>5793</v>
      </c>
      <c r="G30" s="7" t="s">
        <v>5533</v>
      </c>
      <c r="H30" s="3" t="s">
        <v>5715</v>
      </c>
      <c r="I30" s="3" t="s">
        <v>5716</v>
      </c>
      <c r="J30" s="3" t="s">
        <v>5536</v>
      </c>
      <c r="K30" s="3" t="s">
        <v>5594</v>
      </c>
      <c r="L30" s="8" t="str">
        <f>HYPERLINK("http://slimages.macys.com/is/image/MCY/16224837 ")</f>
        <v xml:space="preserve">http://slimages.macys.com/is/image/MCY/16224837 </v>
      </c>
    </row>
    <row r="31" spans="1:12" x14ac:dyDescent="0.25">
      <c r="A31" s="6" t="s">
        <v>1487</v>
      </c>
      <c r="B31" s="3" t="s">
        <v>1488</v>
      </c>
      <c r="C31" s="4">
        <v>1</v>
      </c>
      <c r="D31" s="5">
        <v>149.5</v>
      </c>
      <c r="E31" s="4">
        <v>100060849</v>
      </c>
      <c r="F31" s="3" t="s">
        <v>5661</v>
      </c>
      <c r="G31" s="7" t="s">
        <v>5582</v>
      </c>
      <c r="H31" s="3" t="s">
        <v>5585</v>
      </c>
      <c r="I31" s="3" t="s">
        <v>5586</v>
      </c>
      <c r="J31" s="3" t="s">
        <v>5536</v>
      </c>
      <c r="K31" s="3" t="s">
        <v>5727</v>
      </c>
      <c r="L31" s="8" t="str">
        <f>HYPERLINK("http://slimages.macys.com/is/image/MCY/14713824 ")</f>
        <v xml:space="preserve">http://slimages.macys.com/is/image/MCY/14713824 </v>
      </c>
    </row>
    <row r="32" spans="1:12" x14ac:dyDescent="0.25">
      <c r="A32" s="6" t="s">
        <v>1489</v>
      </c>
      <c r="B32" s="3" t="s">
        <v>5609</v>
      </c>
      <c r="C32" s="4">
        <v>1</v>
      </c>
      <c r="D32" s="5">
        <v>149.5</v>
      </c>
      <c r="E32" s="4">
        <v>100075979</v>
      </c>
      <c r="F32" s="3" t="s">
        <v>5610</v>
      </c>
      <c r="G32" s="7" t="s">
        <v>5560</v>
      </c>
      <c r="H32" s="3" t="s">
        <v>5585</v>
      </c>
      <c r="I32" s="3" t="s">
        <v>5586</v>
      </c>
      <c r="J32" s="3" t="s">
        <v>5536</v>
      </c>
      <c r="K32" s="3" t="s">
        <v>5587</v>
      </c>
      <c r="L32" s="8" t="str">
        <f>HYPERLINK("http://slimages.macys.com/is/image/MCY/15327548 ")</f>
        <v xml:space="preserve">http://slimages.macys.com/is/image/MCY/15327548 </v>
      </c>
    </row>
    <row r="33" spans="1:12" ht="24.75" x14ac:dyDescent="0.25">
      <c r="A33" s="6" t="s">
        <v>1490</v>
      </c>
      <c r="B33" s="3" t="s">
        <v>1491</v>
      </c>
      <c r="C33" s="4">
        <v>2</v>
      </c>
      <c r="D33" s="5">
        <v>299</v>
      </c>
      <c r="E33" s="4">
        <v>100089630</v>
      </c>
      <c r="F33" s="3" t="s">
        <v>5811</v>
      </c>
      <c r="G33" s="7" t="s">
        <v>5596</v>
      </c>
      <c r="H33" s="3" t="s">
        <v>5585</v>
      </c>
      <c r="I33" s="3" t="s">
        <v>5586</v>
      </c>
      <c r="J33" s="3" t="s">
        <v>5536</v>
      </c>
      <c r="K33" s="3" t="s">
        <v>5727</v>
      </c>
      <c r="L33" s="8" t="str">
        <f>HYPERLINK("http://slimages.macys.com/is/image/MCY/15949127 ")</f>
        <v xml:space="preserve">http://slimages.macys.com/is/image/MCY/15949127 </v>
      </c>
    </row>
    <row r="34" spans="1:12" ht="24.75" x14ac:dyDescent="0.25">
      <c r="A34" s="6" t="s">
        <v>1492</v>
      </c>
      <c r="B34" s="3" t="s">
        <v>1491</v>
      </c>
      <c r="C34" s="4">
        <v>1</v>
      </c>
      <c r="D34" s="5">
        <v>149.5</v>
      </c>
      <c r="E34" s="4">
        <v>100089630</v>
      </c>
      <c r="F34" s="3" t="s">
        <v>5811</v>
      </c>
      <c r="G34" s="7" t="s">
        <v>5533</v>
      </c>
      <c r="H34" s="3" t="s">
        <v>5585</v>
      </c>
      <c r="I34" s="3" t="s">
        <v>5586</v>
      </c>
      <c r="J34" s="3" t="s">
        <v>5536</v>
      </c>
      <c r="K34" s="3" t="s">
        <v>5727</v>
      </c>
      <c r="L34" s="8" t="str">
        <f>HYPERLINK("http://slimages.macys.com/is/image/MCY/15949127 ")</f>
        <v xml:space="preserve">http://slimages.macys.com/is/image/MCY/15949127 </v>
      </c>
    </row>
    <row r="35" spans="1:12" x14ac:dyDescent="0.25">
      <c r="A35" s="6" t="s">
        <v>1493</v>
      </c>
      <c r="B35" s="3" t="s">
        <v>5612</v>
      </c>
      <c r="C35" s="4">
        <v>1</v>
      </c>
      <c r="D35" s="5">
        <v>149.5</v>
      </c>
      <c r="E35" s="4">
        <v>100075982</v>
      </c>
      <c r="F35" s="3" t="s">
        <v>5540</v>
      </c>
      <c r="G35" s="7" t="s">
        <v>5560</v>
      </c>
      <c r="H35" s="3" t="s">
        <v>5585</v>
      </c>
      <c r="I35" s="3" t="s">
        <v>5586</v>
      </c>
      <c r="J35" s="3" t="s">
        <v>5536</v>
      </c>
      <c r="K35" s="3" t="s">
        <v>5587</v>
      </c>
      <c r="L35" s="8" t="str">
        <f>HYPERLINK("http://slimages.macys.com/is/image/MCY/15328360 ")</f>
        <v xml:space="preserve">http://slimages.macys.com/is/image/MCY/15328360 </v>
      </c>
    </row>
    <row r="36" spans="1:12" ht="24.75" x14ac:dyDescent="0.25">
      <c r="A36" s="6" t="s">
        <v>1494</v>
      </c>
      <c r="B36" s="3" t="s">
        <v>1495</v>
      </c>
      <c r="C36" s="4">
        <v>1</v>
      </c>
      <c r="D36" s="5">
        <v>89.5</v>
      </c>
      <c r="E36" s="4" t="s">
        <v>1496</v>
      </c>
      <c r="F36" s="3" t="s">
        <v>5532</v>
      </c>
      <c r="G36" s="7" t="s">
        <v>5682</v>
      </c>
      <c r="H36" s="3" t="s">
        <v>7042</v>
      </c>
      <c r="I36" s="3" t="s">
        <v>7043</v>
      </c>
      <c r="J36" s="3" t="s">
        <v>5536</v>
      </c>
      <c r="K36" s="3" t="s">
        <v>5558</v>
      </c>
      <c r="L36" s="8" t="str">
        <f>HYPERLINK("http://slimages.macys.com/is/image/MCY/1361939 ")</f>
        <v xml:space="preserve">http://slimages.macys.com/is/image/MCY/1361939 </v>
      </c>
    </row>
    <row r="37" spans="1:12" ht="24.75" x14ac:dyDescent="0.25">
      <c r="A37" s="6" t="s">
        <v>1497</v>
      </c>
      <c r="B37" s="3" t="s">
        <v>1498</v>
      </c>
      <c r="C37" s="4">
        <v>2</v>
      </c>
      <c r="D37" s="5">
        <v>299</v>
      </c>
      <c r="E37" s="4">
        <v>100082453</v>
      </c>
      <c r="F37" s="3" t="s">
        <v>5532</v>
      </c>
      <c r="G37" s="7" t="s">
        <v>5533</v>
      </c>
      <c r="H37" s="3" t="s">
        <v>5585</v>
      </c>
      <c r="I37" s="3" t="s">
        <v>5586</v>
      </c>
      <c r="J37" s="3" t="s">
        <v>5536</v>
      </c>
      <c r="K37" s="3" t="s">
        <v>1499</v>
      </c>
      <c r="L37" s="8" t="str">
        <f>HYPERLINK("http://slimages.macys.com/is/image/MCY/15865414 ")</f>
        <v xml:space="preserve">http://slimages.macys.com/is/image/MCY/15865414 </v>
      </c>
    </row>
    <row r="38" spans="1:12" ht="24.75" x14ac:dyDescent="0.25">
      <c r="A38" s="6" t="s">
        <v>1500</v>
      </c>
      <c r="B38" s="3" t="s">
        <v>1498</v>
      </c>
      <c r="C38" s="4">
        <v>1</v>
      </c>
      <c r="D38" s="5">
        <v>149.5</v>
      </c>
      <c r="E38" s="4">
        <v>100082453</v>
      </c>
      <c r="F38" s="3" t="s">
        <v>5532</v>
      </c>
      <c r="G38" s="7" t="s">
        <v>5560</v>
      </c>
      <c r="H38" s="3" t="s">
        <v>5585</v>
      </c>
      <c r="I38" s="3" t="s">
        <v>5586</v>
      </c>
      <c r="J38" s="3" t="s">
        <v>5536</v>
      </c>
      <c r="K38" s="3" t="s">
        <v>1499</v>
      </c>
      <c r="L38" s="8" t="str">
        <f>HYPERLINK("http://slimages.macys.com/is/image/MCY/15865414 ")</f>
        <v xml:space="preserve">http://slimages.macys.com/is/image/MCY/15865414 </v>
      </c>
    </row>
    <row r="39" spans="1:12" ht="60.75" x14ac:dyDescent="0.25">
      <c r="A39" s="6" t="s">
        <v>1501</v>
      </c>
      <c r="B39" s="3" t="s">
        <v>1502</v>
      </c>
      <c r="C39" s="4">
        <v>1</v>
      </c>
      <c r="D39" s="5">
        <v>69.989999999999995</v>
      </c>
      <c r="E39" s="4" t="s">
        <v>1503</v>
      </c>
      <c r="F39" s="3" t="s">
        <v>5793</v>
      </c>
      <c r="G39" s="7" t="s">
        <v>5562</v>
      </c>
      <c r="H39" s="3" t="s">
        <v>5617</v>
      </c>
      <c r="I39" s="3" t="s">
        <v>5618</v>
      </c>
      <c r="J39" s="3" t="s">
        <v>5536</v>
      </c>
      <c r="K39" s="3" t="s">
        <v>1504</v>
      </c>
      <c r="L39" s="8" t="str">
        <f>HYPERLINK("http://slimages.macys.com/is/image/MCY/16387710 ")</f>
        <v xml:space="preserve">http://slimages.macys.com/is/image/MCY/16387710 </v>
      </c>
    </row>
    <row r="40" spans="1:12" x14ac:dyDescent="0.25">
      <c r="A40" s="6" t="s">
        <v>1505</v>
      </c>
      <c r="B40" s="3" t="s">
        <v>1506</v>
      </c>
      <c r="C40" s="4">
        <v>1</v>
      </c>
      <c r="D40" s="5">
        <v>69</v>
      </c>
      <c r="E40" s="4" t="s">
        <v>1507</v>
      </c>
      <c r="F40" s="3" t="s">
        <v>5552</v>
      </c>
      <c r="G40" s="7" t="s">
        <v>5582</v>
      </c>
      <c r="H40" s="3" t="s">
        <v>5547</v>
      </c>
      <c r="I40" s="3" t="s">
        <v>5548</v>
      </c>
      <c r="J40" s="3" t="s">
        <v>5536</v>
      </c>
      <c r="K40" s="3" t="s">
        <v>5549</v>
      </c>
      <c r="L40" s="8" t="str">
        <f>HYPERLINK("http://slimages.macys.com/is/image/MCY/13729125 ")</f>
        <v xml:space="preserve">http://slimages.macys.com/is/image/MCY/13729125 </v>
      </c>
    </row>
    <row r="41" spans="1:12" x14ac:dyDescent="0.25">
      <c r="A41" s="6" t="s">
        <v>1508</v>
      </c>
      <c r="B41" s="3" t="s">
        <v>1509</v>
      </c>
      <c r="C41" s="4">
        <v>2</v>
      </c>
      <c r="D41" s="5">
        <v>299</v>
      </c>
      <c r="E41" s="4">
        <v>100082454</v>
      </c>
      <c r="F41" s="3" t="s">
        <v>5783</v>
      </c>
      <c r="G41" s="7" t="s">
        <v>5533</v>
      </c>
      <c r="H41" s="3" t="s">
        <v>5585</v>
      </c>
      <c r="I41" s="3" t="s">
        <v>5586</v>
      </c>
      <c r="J41" s="3" t="s">
        <v>5536</v>
      </c>
      <c r="K41" s="3" t="s">
        <v>5587</v>
      </c>
      <c r="L41" s="8" t="str">
        <f>HYPERLINK("http://slimages.macys.com/is/image/MCY/15865406 ")</f>
        <v xml:space="preserve">http://slimages.macys.com/is/image/MCY/15865406 </v>
      </c>
    </row>
    <row r="42" spans="1:12" x14ac:dyDescent="0.25">
      <c r="A42" s="6" t="s">
        <v>1510</v>
      </c>
      <c r="B42" s="3" t="s">
        <v>1509</v>
      </c>
      <c r="C42" s="4">
        <v>2</v>
      </c>
      <c r="D42" s="5">
        <v>299</v>
      </c>
      <c r="E42" s="4">
        <v>100082454</v>
      </c>
      <c r="F42" s="3" t="s">
        <v>5783</v>
      </c>
      <c r="G42" s="7" t="s">
        <v>5596</v>
      </c>
      <c r="H42" s="3" t="s">
        <v>5585</v>
      </c>
      <c r="I42" s="3" t="s">
        <v>5586</v>
      </c>
      <c r="J42" s="3" t="s">
        <v>5536</v>
      </c>
      <c r="K42" s="3" t="s">
        <v>5587</v>
      </c>
      <c r="L42" s="8" t="str">
        <f>HYPERLINK("http://slimages.macys.com/is/image/MCY/15865406 ")</f>
        <v xml:space="preserve">http://slimages.macys.com/is/image/MCY/15865406 </v>
      </c>
    </row>
    <row r="43" spans="1:12" ht="24.75" x14ac:dyDescent="0.25">
      <c r="A43" s="6" t="s">
        <v>1511</v>
      </c>
      <c r="B43" s="3" t="s">
        <v>5660</v>
      </c>
      <c r="C43" s="4">
        <v>1</v>
      </c>
      <c r="D43" s="5">
        <v>53.5</v>
      </c>
      <c r="E43" s="4">
        <v>45114090</v>
      </c>
      <c r="F43" s="3" t="s">
        <v>5661</v>
      </c>
      <c r="G43" s="7" t="s">
        <v>5650</v>
      </c>
      <c r="H43" s="3" t="s">
        <v>5606</v>
      </c>
      <c r="I43" s="3" t="s">
        <v>5607</v>
      </c>
      <c r="J43" s="3" t="s">
        <v>5536</v>
      </c>
      <c r="K43" s="3" t="s">
        <v>5641</v>
      </c>
      <c r="L43" s="8" t="str">
        <f>HYPERLINK("http://slimages.macys.com/is/image/MCY/14606494 ")</f>
        <v xml:space="preserve">http://slimages.macys.com/is/image/MCY/14606494 </v>
      </c>
    </row>
    <row r="44" spans="1:12" x14ac:dyDescent="0.25">
      <c r="A44" s="6" t="s">
        <v>1512</v>
      </c>
      <c r="B44" s="3" t="s">
        <v>2767</v>
      </c>
      <c r="C44" s="4">
        <v>1</v>
      </c>
      <c r="D44" s="5">
        <v>53.5</v>
      </c>
      <c r="E44" s="4">
        <v>5141287</v>
      </c>
      <c r="F44" s="3" t="s">
        <v>5661</v>
      </c>
      <c r="G44" s="7" t="s">
        <v>5680</v>
      </c>
      <c r="H44" s="3" t="s">
        <v>5606</v>
      </c>
      <c r="I44" s="3" t="s">
        <v>5607</v>
      </c>
      <c r="J44" s="3" t="s">
        <v>5536</v>
      </c>
      <c r="K44" s="3" t="s">
        <v>5558</v>
      </c>
      <c r="L44" s="8" t="str">
        <f>HYPERLINK("http://slimages.macys.com/is/image/MCY/15103917 ")</f>
        <v xml:space="preserve">http://slimages.macys.com/is/image/MCY/15103917 </v>
      </c>
    </row>
    <row r="45" spans="1:12" ht="24.75" x14ac:dyDescent="0.25">
      <c r="A45" s="6" t="s">
        <v>1513</v>
      </c>
      <c r="B45" s="3" t="s">
        <v>1514</v>
      </c>
      <c r="C45" s="4">
        <v>1</v>
      </c>
      <c r="D45" s="5">
        <v>53.5</v>
      </c>
      <c r="E45" s="4">
        <v>45113794</v>
      </c>
      <c r="F45" s="3" t="s">
        <v>5661</v>
      </c>
      <c r="G45" s="7" t="s">
        <v>5626</v>
      </c>
      <c r="H45" s="3" t="s">
        <v>5606</v>
      </c>
      <c r="I45" s="3" t="s">
        <v>5607</v>
      </c>
      <c r="J45" s="3" t="s">
        <v>5536</v>
      </c>
      <c r="K45" s="3" t="s">
        <v>5641</v>
      </c>
      <c r="L45" s="8" t="str">
        <f>HYPERLINK("http://slimages.macys.com/is/image/MCY/15106523 ")</f>
        <v xml:space="preserve">http://slimages.macys.com/is/image/MCY/15106523 </v>
      </c>
    </row>
    <row r="46" spans="1:12" x14ac:dyDescent="0.25">
      <c r="A46" s="6" t="s">
        <v>1515</v>
      </c>
      <c r="B46" s="3" t="s">
        <v>5624</v>
      </c>
      <c r="C46" s="4">
        <v>1</v>
      </c>
      <c r="D46" s="5">
        <v>53.5</v>
      </c>
      <c r="E46" s="4">
        <v>295070700</v>
      </c>
      <c r="F46" s="3" t="s">
        <v>5625</v>
      </c>
      <c r="G46" s="7" t="s">
        <v>5567</v>
      </c>
      <c r="H46" s="3" t="s">
        <v>5606</v>
      </c>
      <c r="I46" s="3" t="s">
        <v>5607</v>
      </c>
      <c r="J46" s="3" t="s">
        <v>5536</v>
      </c>
      <c r="K46" s="3" t="s">
        <v>5558</v>
      </c>
      <c r="L46" s="8" t="str">
        <f>HYPERLINK("http://slimages.macys.com/is/image/MCY/15555583 ")</f>
        <v xml:space="preserve">http://slimages.macys.com/is/image/MCY/15555583 </v>
      </c>
    </row>
    <row r="47" spans="1:12" x14ac:dyDescent="0.25">
      <c r="A47" s="6" t="s">
        <v>1516</v>
      </c>
      <c r="B47" s="3" t="s">
        <v>5643</v>
      </c>
      <c r="C47" s="4">
        <v>1</v>
      </c>
      <c r="D47" s="5">
        <v>53.5</v>
      </c>
      <c r="E47" s="4">
        <v>295070547</v>
      </c>
      <c r="F47" s="3" t="s">
        <v>5640</v>
      </c>
      <c r="G47" s="7" t="s">
        <v>5658</v>
      </c>
      <c r="H47" s="3" t="s">
        <v>5606</v>
      </c>
      <c r="I47" s="3" t="s">
        <v>5607</v>
      </c>
      <c r="J47" s="3" t="s">
        <v>5536</v>
      </c>
      <c r="K47" s="3" t="s">
        <v>5558</v>
      </c>
      <c r="L47" s="8" t="str">
        <f>HYPERLINK("http://slimages.macys.com/is/image/MCY/15555583 ")</f>
        <v xml:space="preserve">http://slimages.macys.com/is/image/MCY/15555583 </v>
      </c>
    </row>
    <row r="48" spans="1:12" ht="24.75" x14ac:dyDescent="0.25">
      <c r="A48" s="6" t="s">
        <v>5632</v>
      </c>
      <c r="B48" s="3" t="s">
        <v>5633</v>
      </c>
      <c r="C48" s="4">
        <v>1</v>
      </c>
      <c r="D48" s="5">
        <v>53.5</v>
      </c>
      <c r="E48" s="4">
        <v>131510085</v>
      </c>
      <c r="F48" s="3" t="s">
        <v>5634</v>
      </c>
      <c r="G48" s="7" t="s">
        <v>5635</v>
      </c>
      <c r="H48" s="3" t="s">
        <v>5606</v>
      </c>
      <c r="I48" s="3" t="s">
        <v>5607</v>
      </c>
      <c r="J48" s="3" t="s">
        <v>5536</v>
      </c>
      <c r="K48" s="3" t="s">
        <v>5558</v>
      </c>
      <c r="L48" s="8" t="str">
        <f>HYPERLINK("http://slimages.macys.com/is/image/MCY/2977507 ")</f>
        <v xml:space="preserve">http://slimages.macys.com/is/image/MCY/2977507 </v>
      </c>
    </row>
    <row r="49" spans="1:12" x14ac:dyDescent="0.25">
      <c r="A49" s="6" t="s">
        <v>1517</v>
      </c>
      <c r="B49" s="3" t="s">
        <v>2767</v>
      </c>
      <c r="C49" s="4">
        <v>1</v>
      </c>
      <c r="D49" s="5">
        <v>53.5</v>
      </c>
      <c r="E49" s="4">
        <v>5141287</v>
      </c>
      <c r="F49" s="3" t="s">
        <v>5661</v>
      </c>
      <c r="G49" s="7" t="s">
        <v>5557</v>
      </c>
      <c r="H49" s="3" t="s">
        <v>5606</v>
      </c>
      <c r="I49" s="3" t="s">
        <v>5607</v>
      </c>
      <c r="J49" s="3" t="s">
        <v>5536</v>
      </c>
      <c r="K49" s="3" t="s">
        <v>5558</v>
      </c>
      <c r="L49" s="8" t="str">
        <f>HYPERLINK("http://slimages.macys.com/is/image/MCY/15103917 ")</f>
        <v xml:space="preserve">http://slimages.macys.com/is/image/MCY/15103917 </v>
      </c>
    </row>
    <row r="50" spans="1:12" ht="24.75" x14ac:dyDescent="0.25">
      <c r="A50" s="6" t="s">
        <v>5666</v>
      </c>
      <c r="B50" s="3" t="s">
        <v>5660</v>
      </c>
      <c r="C50" s="4">
        <v>2</v>
      </c>
      <c r="D50" s="5">
        <v>107</v>
      </c>
      <c r="E50" s="4">
        <v>45114090</v>
      </c>
      <c r="F50" s="3" t="s">
        <v>5661</v>
      </c>
      <c r="G50" s="7" t="s">
        <v>5567</v>
      </c>
      <c r="H50" s="3" t="s">
        <v>5606</v>
      </c>
      <c r="I50" s="3" t="s">
        <v>5607</v>
      </c>
      <c r="J50" s="3" t="s">
        <v>5536</v>
      </c>
      <c r="K50" s="3" t="s">
        <v>5641</v>
      </c>
      <c r="L50" s="8" t="str">
        <f>HYPERLINK("http://slimages.macys.com/is/image/MCY/14606494 ")</f>
        <v xml:space="preserve">http://slimages.macys.com/is/image/MCY/14606494 </v>
      </c>
    </row>
    <row r="51" spans="1:12" x14ac:dyDescent="0.25">
      <c r="A51" s="6" t="s">
        <v>5654</v>
      </c>
      <c r="B51" s="3" t="s">
        <v>5653</v>
      </c>
      <c r="C51" s="4">
        <v>1</v>
      </c>
      <c r="D51" s="5">
        <v>53.5</v>
      </c>
      <c r="E51" s="4">
        <v>295070702</v>
      </c>
      <c r="F51" s="3" t="s">
        <v>5578</v>
      </c>
      <c r="G51" s="7" t="s">
        <v>5557</v>
      </c>
      <c r="H51" s="3" t="s">
        <v>5606</v>
      </c>
      <c r="I51" s="3" t="s">
        <v>5607</v>
      </c>
      <c r="J51" s="3" t="s">
        <v>5536</v>
      </c>
      <c r="K51" s="3" t="s">
        <v>5558</v>
      </c>
      <c r="L51" s="8" t="str">
        <f>HYPERLINK("http://slimages.macys.com/is/image/MCY/10568493 ")</f>
        <v xml:space="preserve">http://slimages.macys.com/is/image/MCY/10568493 </v>
      </c>
    </row>
    <row r="52" spans="1:12" x14ac:dyDescent="0.25">
      <c r="A52" s="6" t="s">
        <v>1518</v>
      </c>
      <c r="B52" s="3" t="s">
        <v>5643</v>
      </c>
      <c r="C52" s="4">
        <v>1</v>
      </c>
      <c r="D52" s="5">
        <v>53.5</v>
      </c>
      <c r="E52" s="4">
        <v>295070547</v>
      </c>
      <c r="F52" s="3" t="s">
        <v>5640</v>
      </c>
      <c r="G52" s="7" t="s">
        <v>5672</v>
      </c>
      <c r="H52" s="3" t="s">
        <v>5606</v>
      </c>
      <c r="I52" s="3" t="s">
        <v>5607</v>
      </c>
      <c r="J52" s="3" t="s">
        <v>5536</v>
      </c>
      <c r="K52" s="3" t="s">
        <v>5558</v>
      </c>
      <c r="L52" s="8" t="str">
        <f>HYPERLINK("http://slimages.macys.com/is/image/MCY/15555583 ")</f>
        <v xml:space="preserve">http://slimages.macys.com/is/image/MCY/15555583 </v>
      </c>
    </row>
    <row r="53" spans="1:12" x14ac:dyDescent="0.25">
      <c r="A53" s="6" t="s">
        <v>1519</v>
      </c>
      <c r="B53" s="3" t="s">
        <v>5643</v>
      </c>
      <c r="C53" s="4">
        <v>1</v>
      </c>
      <c r="D53" s="5">
        <v>53.5</v>
      </c>
      <c r="E53" s="4">
        <v>295070547</v>
      </c>
      <c r="F53" s="3" t="s">
        <v>5640</v>
      </c>
      <c r="G53" s="7" t="s">
        <v>5685</v>
      </c>
      <c r="H53" s="3" t="s">
        <v>5606</v>
      </c>
      <c r="I53" s="3" t="s">
        <v>5607</v>
      </c>
      <c r="J53" s="3" t="s">
        <v>5536</v>
      </c>
      <c r="K53" s="3" t="s">
        <v>5558</v>
      </c>
      <c r="L53" s="8" t="str">
        <f>HYPERLINK("http://slimages.macys.com/is/image/MCY/15555583 ")</f>
        <v xml:space="preserve">http://slimages.macys.com/is/image/MCY/15555583 </v>
      </c>
    </row>
    <row r="54" spans="1:12" ht="24.75" x14ac:dyDescent="0.25">
      <c r="A54" s="6" t="s">
        <v>1520</v>
      </c>
      <c r="B54" s="3" t="s">
        <v>5639</v>
      </c>
      <c r="C54" s="4">
        <v>1</v>
      </c>
      <c r="D54" s="5">
        <v>53.5</v>
      </c>
      <c r="E54" s="4">
        <v>45114088</v>
      </c>
      <c r="F54" s="3" t="s">
        <v>5640</v>
      </c>
      <c r="G54" s="7" t="s">
        <v>5648</v>
      </c>
      <c r="H54" s="3" t="s">
        <v>5606</v>
      </c>
      <c r="I54" s="3" t="s">
        <v>5607</v>
      </c>
      <c r="J54" s="3" t="s">
        <v>5536</v>
      </c>
      <c r="K54" s="3" t="s">
        <v>5641</v>
      </c>
      <c r="L54" s="8" t="str">
        <f>HYPERLINK("http://slimages.macys.com/is/image/MCY/14606494 ")</f>
        <v xml:space="preserve">http://slimages.macys.com/is/image/MCY/14606494 </v>
      </c>
    </row>
    <row r="55" spans="1:12" ht="24.75" x14ac:dyDescent="0.25">
      <c r="A55" s="6" t="s">
        <v>1521</v>
      </c>
      <c r="B55" s="3" t="s">
        <v>5647</v>
      </c>
      <c r="C55" s="4">
        <v>1</v>
      </c>
      <c r="D55" s="5">
        <v>53.5</v>
      </c>
      <c r="E55" s="4">
        <v>45113016</v>
      </c>
      <c r="F55" s="3" t="s">
        <v>5540</v>
      </c>
      <c r="G55" s="7" t="s">
        <v>5567</v>
      </c>
      <c r="H55" s="3" t="s">
        <v>5606</v>
      </c>
      <c r="I55" s="3" t="s">
        <v>5607</v>
      </c>
      <c r="J55" s="3" t="s">
        <v>5536</v>
      </c>
      <c r="K55" s="3" t="s">
        <v>5641</v>
      </c>
      <c r="L55" s="8" t="str">
        <f>HYPERLINK("http://slimages.macys.com/is/image/MCY/14606494 ")</f>
        <v xml:space="preserve">http://slimages.macys.com/is/image/MCY/14606494 </v>
      </c>
    </row>
    <row r="56" spans="1:12" x14ac:dyDescent="0.25">
      <c r="A56" s="6" t="s">
        <v>5623</v>
      </c>
      <c r="B56" s="3" t="s">
        <v>5624</v>
      </c>
      <c r="C56" s="4">
        <v>1</v>
      </c>
      <c r="D56" s="5">
        <v>53.5</v>
      </c>
      <c r="E56" s="4">
        <v>295070700</v>
      </c>
      <c r="F56" s="3" t="s">
        <v>5625</v>
      </c>
      <c r="G56" s="7" t="s">
        <v>5626</v>
      </c>
      <c r="H56" s="3" t="s">
        <v>5606</v>
      </c>
      <c r="I56" s="3" t="s">
        <v>5607</v>
      </c>
      <c r="J56" s="3" t="s">
        <v>5536</v>
      </c>
      <c r="K56" s="3" t="s">
        <v>5558</v>
      </c>
      <c r="L56" s="8" t="str">
        <f>HYPERLINK("http://slimages.macys.com/is/image/MCY/15555583 ")</f>
        <v xml:space="preserve">http://slimages.macys.com/is/image/MCY/15555583 </v>
      </c>
    </row>
    <row r="57" spans="1:12" x14ac:dyDescent="0.25">
      <c r="A57" s="6" t="s">
        <v>1522</v>
      </c>
      <c r="B57" s="3" t="s">
        <v>5702</v>
      </c>
      <c r="C57" s="4">
        <v>1</v>
      </c>
      <c r="D57" s="5">
        <v>53.5</v>
      </c>
      <c r="E57" s="4">
        <v>295070467</v>
      </c>
      <c r="F57" s="3" t="s">
        <v>5552</v>
      </c>
      <c r="G57" s="7"/>
      <c r="H57" s="3" t="s">
        <v>5606</v>
      </c>
      <c r="I57" s="3" t="s">
        <v>5607</v>
      </c>
      <c r="J57" s="3" t="s">
        <v>5536</v>
      </c>
      <c r="K57" s="3" t="s">
        <v>5558</v>
      </c>
      <c r="L57" s="8" t="str">
        <f>HYPERLINK("http://slimages.macys.com/is/image/MCY/15552503 ")</f>
        <v xml:space="preserve">http://slimages.macys.com/is/image/MCY/15552503 </v>
      </c>
    </row>
    <row r="58" spans="1:12" x14ac:dyDescent="0.25">
      <c r="A58" s="6" t="s">
        <v>2766</v>
      </c>
      <c r="B58" s="3" t="s">
        <v>2767</v>
      </c>
      <c r="C58" s="4">
        <v>1</v>
      </c>
      <c r="D58" s="5">
        <v>53.5</v>
      </c>
      <c r="E58" s="4">
        <v>5141287</v>
      </c>
      <c r="F58" s="3" t="s">
        <v>5661</v>
      </c>
      <c r="G58" s="7" t="s">
        <v>5656</v>
      </c>
      <c r="H58" s="3" t="s">
        <v>5606</v>
      </c>
      <c r="I58" s="3" t="s">
        <v>5607</v>
      </c>
      <c r="J58" s="3" t="s">
        <v>5536</v>
      </c>
      <c r="K58" s="3" t="s">
        <v>5558</v>
      </c>
      <c r="L58" s="8" t="str">
        <f>HYPERLINK("http://slimages.macys.com/is/image/MCY/15103917 ")</f>
        <v xml:space="preserve">http://slimages.macys.com/is/image/MCY/15103917 </v>
      </c>
    </row>
    <row r="59" spans="1:12" x14ac:dyDescent="0.25">
      <c r="A59" s="6" t="s">
        <v>5683</v>
      </c>
      <c r="B59" s="3" t="s">
        <v>5624</v>
      </c>
      <c r="C59" s="4">
        <v>1</v>
      </c>
      <c r="D59" s="5">
        <v>53.5</v>
      </c>
      <c r="E59" s="4">
        <v>295070700</v>
      </c>
      <c r="F59" s="3" t="s">
        <v>5625</v>
      </c>
      <c r="G59" s="7" t="s">
        <v>5662</v>
      </c>
      <c r="H59" s="3" t="s">
        <v>5606</v>
      </c>
      <c r="I59" s="3" t="s">
        <v>5607</v>
      </c>
      <c r="J59" s="3" t="s">
        <v>5536</v>
      </c>
      <c r="K59" s="3" t="s">
        <v>5558</v>
      </c>
      <c r="L59" s="8" t="str">
        <f>HYPERLINK("http://slimages.macys.com/is/image/MCY/15555583 ")</f>
        <v xml:space="preserve">http://slimages.macys.com/is/image/MCY/15555583 </v>
      </c>
    </row>
    <row r="60" spans="1:12" x14ac:dyDescent="0.25">
      <c r="A60" s="6" t="s">
        <v>5678</v>
      </c>
      <c r="B60" s="3" t="s">
        <v>5624</v>
      </c>
      <c r="C60" s="4">
        <v>1</v>
      </c>
      <c r="D60" s="5">
        <v>53.5</v>
      </c>
      <c r="E60" s="4">
        <v>295070700</v>
      </c>
      <c r="F60" s="3" t="s">
        <v>5625</v>
      </c>
      <c r="G60" s="7"/>
      <c r="H60" s="3" t="s">
        <v>5606</v>
      </c>
      <c r="I60" s="3" t="s">
        <v>5607</v>
      </c>
      <c r="J60" s="3" t="s">
        <v>5536</v>
      </c>
      <c r="K60" s="3" t="s">
        <v>5558</v>
      </c>
      <c r="L60" s="8" t="str">
        <f>HYPERLINK("http://slimages.macys.com/is/image/MCY/15555583 ")</f>
        <v xml:space="preserve">http://slimages.macys.com/is/image/MCY/15555583 </v>
      </c>
    </row>
    <row r="61" spans="1:12" x14ac:dyDescent="0.25">
      <c r="A61" s="6" t="s">
        <v>5337</v>
      </c>
      <c r="B61" s="3" t="s">
        <v>5335</v>
      </c>
      <c r="C61" s="4">
        <v>1</v>
      </c>
      <c r="D61" s="5">
        <v>53.5</v>
      </c>
      <c r="E61" s="4">
        <v>131510082</v>
      </c>
      <c r="F61" s="3" t="s">
        <v>5540</v>
      </c>
      <c r="G61" s="7" t="s">
        <v>5637</v>
      </c>
      <c r="H61" s="3" t="s">
        <v>5606</v>
      </c>
      <c r="I61" s="3" t="s">
        <v>5607</v>
      </c>
      <c r="J61" s="3" t="s">
        <v>5536</v>
      </c>
      <c r="K61" s="3" t="s">
        <v>5558</v>
      </c>
      <c r="L61" s="8" t="str">
        <f>HYPERLINK("http://slimages.macys.com/is/image/MCY/2977507 ")</f>
        <v xml:space="preserve">http://slimages.macys.com/is/image/MCY/2977507 </v>
      </c>
    </row>
    <row r="62" spans="1:12" x14ac:dyDescent="0.25">
      <c r="A62" s="6" t="s">
        <v>5706</v>
      </c>
      <c r="B62" s="3" t="s">
        <v>5704</v>
      </c>
      <c r="C62" s="4">
        <v>1</v>
      </c>
      <c r="D62" s="5">
        <v>53.5</v>
      </c>
      <c r="E62" s="4">
        <v>5012751</v>
      </c>
      <c r="F62" s="3" t="s">
        <v>5540</v>
      </c>
      <c r="G62" s="7" t="s">
        <v>5707</v>
      </c>
      <c r="H62" s="3" t="s">
        <v>5606</v>
      </c>
      <c r="I62" s="3" t="s">
        <v>5607</v>
      </c>
      <c r="J62" s="3" t="s">
        <v>5536</v>
      </c>
      <c r="K62" s="3" t="s">
        <v>5594</v>
      </c>
      <c r="L62" s="8" t="str">
        <f>HYPERLINK("http://slimages.macys.com/is/image/MCY/11641134 ")</f>
        <v xml:space="preserve">http://slimages.macys.com/is/image/MCY/11641134 </v>
      </c>
    </row>
    <row r="63" spans="1:12" ht="24.75" x14ac:dyDescent="0.25">
      <c r="A63" s="6" t="s">
        <v>1523</v>
      </c>
      <c r="B63" s="3" t="s">
        <v>1524</v>
      </c>
      <c r="C63" s="4">
        <v>1</v>
      </c>
      <c r="D63" s="5">
        <v>69.5</v>
      </c>
      <c r="E63" s="4" t="s">
        <v>1525</v>
      </c>
      <c r="F63" s="3" t="s">
        <v>5625</v>
      </c>
      <c r="G63" s="7" t="s">
        <v>3886</v>
      </c>
      <c r="H63" s="3" t="s">
        <v>7211</v>
      </c>
      <c r="I63" s="3" t="s">
        <v>7212</v>
      </c>
      <c r="J63" s="3" t="s">
        <v>5536</v>
      </c>
      <c r="K63" s="3" t="s">
        <v>5594</v>
      </c>
      <c r="L63" s="8" t="str">
        <f>HYPERLINK("http://slimages.macys.com/is/image/MCY/14332894 ")</f>
        <v xml:space="preserve">http://slimages.macys.com/is/image/MCY/14332894 </v>
      </c>
    </row>
    <row r="64" spans="1:12" ht="24.75" x14ac:dyDescent="0.25">
      <c r="A64" s="6" t="s">
        <v>1526</v>
      </c>
      <c r="B64" s="3" t="s">
        <v>1527</v>
      </c>
      <c r="C64" s="4">
        <v>1</v>
      </c>
      <c r="D64" s="5">
        <v>69.5</v>
      </c>
      <c r="E64" s="4" t="s">
        <v>1528</v>
      </c>
      <c r="F64" s="3" t="s">
        <v>5604</v>
      </c>
      <c r="G64" s="7" t="s">
        <v>5562</v>
      </c>
      <c r="H64" s="3" t="s">
        <v>5715</v>
      </c>
      <c r="I64" s="3" t="s">
        <v>5716</v>
      </c>
      <c r="J64" s="3" t="s">
        <v>5536</v>
      </c>
      <c r="K64" s="3" t="s">
        <v>5549</v>
      </c>
      <c r="L64" s="8" t="str">
        <f>HYPERLINK("http://slimages.macys.com/is/image/MCY/14715850 ")</f>
        <v xml:space="preserve">http://slimages.macys.com/is/image/MCY/14715850 </v>
      </c>
    </row>
    <row r="65" spans="1:12" ht="24.75" x14ac:dyDescent="0.25">
      <c r="A65" s="6" t="s">
        <v>1529</v>
      </c>
      <c r="B65" s="3" t="s">
        <v>1530</v>
      </c>
      <c r="C65" s="4">
        <v>1</v>
      </c>
      <c r="D65" s="5">
        <v>69.5</v>
      </c>
      <c r="E65" s="4" t="s">
        <v>1531</v>
      </c>
      <c r="F65" s="3" t="s">
        <v>5783</v>
      </c>
      <c r="G65" s="7" t="s">
        <v>5562</v>
      </c>
      <c r="H65" s="3" t="s">
        <v>5715</v>
      </c>
      <c r="I65" s="3" t="s">
        <v>5716</v>
      </c>
      <c r="J65" s="3" t="s">
        <v>5536</v>
      </c>
      <c r="K65" s="3" t="s">
        <v>5549</v>
      </c>
      <c r="L65" s="8" t="str">
        <f>HYPERLINK("http://slimages.macys.com/is/image/MCY/14702044 ")</f>
        <v xml:space="preserve">http://slimages.macys.com/is/image/MCY/14702044 </v>
      </c>
    </row>
    <row r="66" spans="1:12" ht="24.75" x14ac:dyDescent="0.25">
      <c r="A66" s="6" t="s">
        <v>1532</v>
      </c>
      <c r="B66" s="3" t="s">
        <v>1530</v>
      </c>
      <c r="C66" s="4">
        <v>2</v>
      </c>
      <c r="D66" s="5">
        <v>139</v>
      </c>
      <c r="E66" s="4" t="s">
        <v>1531</v>
      </c>
      <c r="F66" s="3" t="s">
        <v>5783</v>
      </c>
      <c r="G66" s="7" t="s">
        <v>5596</v>
      </c>
      <c r="H66" s="3" t="s">
        <v>5715</v>
      </c>
      <c r="I66" s="3" t="s">
        <v>5716</v>
      </c>
      <c r="J66" s="3" t="s">
        <v>5536</v>
      </c>
      <c r="K66" s="3" t="s">
        <v>5549</v>
      </c>
      <c r="L66" s="8" t="str">
        <f>HYPERLINK("http://slimages.macys.com/is/image/MCY/14702044 ")</f>
        <v xml:space="preserve">http://slimages.macys.com/is/image/MCY/14702044 </v>
      </c>
    </row>
    <row r="67" spans="1:12" ht="24.75" x14ac:dyDescent="0.25">
      <c r="A67" s="6" t="s">
        <v>1533</v>
      </c>
      <c r="B67" s="3" t="s">
        <v>1534</v>
      </c>
      <c r="C67" s="4">
        <v>1</v>
      </c>
      <c r="D67" s="5">
        <v>69.5</v>
      </c>
      <c r="E67" s="4" t="s">
        <v>1535</v>
      </c>
      <c r="F67" s="3" t="s">
        <v>5578</v>
      </c>
      <c r="G67" s="7" t="s">
        <v>5533</v>
      </c>
      <c r="H67" s="3" t="s">
        <v>5715</v>
      </c>
      <c r="I67" s="3" t="s">
        <v>5716</v>
      </c>
      <c r="J67" s="3" t="s">
        <v>5536</v>
      </c>
      <c r="K67" s="3" t="s">
        <v>5549</v>
      </c>
      <c r="L67" s="8" t="str">
        <f>HYPERLINK("http://slimages.macys.com/is/image/MCY/14715850 ")</f>
        <v xml:space="preserve">http://slimages.macys.com/is/image/MCY/14715850 </v>
      </c>
    </row>
    <row r="68" spans="1:12" ht="24.75" x14ac:dyDescent="0.25">
      <c r="A68" s="6" t="s">
        <v>1536</v>
      </c>
      <c r="B68" s="3" t="s">
        <v>1537</v>
      </c>
      <c r="C68" s="4">
        <v>1</v>
      </c>
      <c r="D68" s="5">
        <v>55</v>
      </c>
      <c r="E68" s="4">
        <v>711671467005</v>
      </c>
      <c r="F68" s="3" t="s">
        <v>5552</v>
      </c>
      <c r="G68" s="7"/>
      <c r="H68" s="3" t="s">
        <v>1430</v>
      </c>
      <c r="I68" s="3" t="s">
        <v>5535</v>
      </c>
      <c r="J68" s="3" t="s">
        <v>5536</v>
      </c>
      <c r="K68" s="3" t="s">
        <v>5549</v>
      </c>
      <c r="L68" s="8" t="str">
        <f>HYPERLINK("http://slimages.macys.com/is/image/MCY/14360667 ")</f>
        <v xml:space="preserve">http://slimages.macys.com/is/image/MCY/14360667 </v>
      </c>
    </row>
    <row r="69" spans="1:12" ht="24.75" x14ac:dyDescent="0.25">
      <c r="A69" s="6" t="s">
        <v>1538</v>
      </c>
      <c r="B69" s="3" t="s">
        <v>1539</v>
      </c>
      <c r="C69" s="4">
        <v>1</v>
      </c>
      <c r="D69" s="5">
        <v>64.989999999999995</v>
      </c>
      <c r="E69" s="4">
        <v>2901116</v>
      </c>
      <c r="F69" s="3" t="s">
        <v>5552</v>
      </c>
      <c r="G69" s="7" t="s">
        <v>5760</v>
      </c>
      <c r="H69" s="3" t="s">
        <v>5722</v>
      </c>
      <c r="I69" s="3" t="s">
        <v>1540</v>
      </c>
      <c r="J69" s="3" t="s">
        <v>5536</v>
      </c>
      <c r="K69" s="3" t="s">
        <v>1541</v>
      </c>
      <c r="L69" s="8" t="str">
        <f>HYPERLINK("http://slimages.macys.com/is/image/MCY/12670455 ")</f>
        <v xml:space="preserve">http://slimages.macys.com/is/image/MCY/12670455 </v>
      </c>
    </row>
    <row r="70" spans="1:12" x14ac:dyDescent="0.25">
      <c r="A70" s="6" t="s">
        <v>1542</v>
      </c>
      <c r="B70" s="3" t="s">
        <v>1543</v>
      </c>
      <c r="C70" s="4">
        <v>1</v>
      </c>
      <c r="D70" s="5">
        <v>42.99</v>
      </c>
      <c r="E70" s="4">
        <v>5594010</v>
      </c>
      <c r="F70" s="3" t="s">
        <v>5803</v>
      </c>
      <c r="G70" s="7" t="s">
        <v>5567</v>
      </c>
      <c r="H70" s="3" t="s">
        <v>5606</v>
      </c>
      <c r="I70" s="3" t="s">
        <v>5607</v>
      </c>
      <c r="J70" s="3" t="s">
        <v>5536</v>
      </c>
      <c r="K70" s="3" t="s">
        <v>5558</v>
      </c>
      <c r="L70" s="8" t="str">
        <f>HYPERLINK("http://slimages.macys.com/is/image/MCY/1022096 ")</f>
        <v xml:space="preserve">http://slimages.macys.com/is/image/MCY/1022096 </v>
      </c>
    </row>
    <row r="71" spans="1:12" x14ac:dyDescent="0.25">
      <c r="A71" s="6" t="s">
        <v>1544</v>
      </c>
      <c r="B71" s="3" t="s">
        <v>3660</v>
      </c>
      <c r="C71" s="4">
        <v>1</v>
      </c>
      <c r="D71" s="5">
        <v>39.99</v>
      </c>
      <c r="E71" s="4">
        <v>5010194</v>
      </c>
      <c r="F71" s="3" t="s">
        <v>5578</v>
      </c>
      <c r="G71" s="7" t="s">
        <v>5656</v>
      </c>
      <c r="H71" s="3" t="s">
        <v>5606</v>
      </c>
      <c r="I71" s="3" t="s">
        <v>5607</v>
      </c>
      <c r="J71" s="3" t="s">
        <v>5536</v>
      </c>
      <c r="K71" s="3" t="s">
        <v>5558</v>
      </c>
      <c r="L71" s="8" t="str">
        <f>HYPERLINK("http://slimages.macys.com/is/image/MCY/1515588 ")</f>
        <v xml:space="preserve">http://slimages.macys.com/is/image/MCY/1515588 </v>
      </c>
    </row>
    <row r="72" spans="1:12" ht="24.75" x14ac:dyDescent="0.25">
      <c r="A72" s="6" t="s">
        <v>1545</v>
      </c>
      <c r="B72" s="3" t="s">
        <v>1546</v>
      </c>
      <c r="C72" s="4">
        <v>1</v>
      </c>
      <c r="D72" s="5">
        <v>89</v>
      </c>
      <c r="E72" s="4" t="s">
        <v>1547</v>
      </c>
      <c r="F72" s="3" t="s">
        <v>5811</v>
      </c>
      <c r="G72" s="7" t="s">
        <v>5596</v>
      </c>
      <c r="H72" s="3" t="s">
        <v>2792</v>
      </c>
      <c r="I72" s="3" t="s">
        <v>2793</v>
      </c>
      <c r="J72" s="3" t="s">
        <v>5536</v>
      </c>
      <c r="K72" s="3" t="s">
        <v>5574</v>
      </c>
      <c r="L72" s="8" t="str">
        <f>HYPERLINK("http://slimages.macys.com/is/image/MCY/15911938 ")</f>
        <v xml:space="preserve">http://slimages.macys.com/is/image/MCY/15911938 </v>
      </c>
    </row>
    <row r="73" spans="1:12" ht="24.75" x14ac:dyDescent="0.25">
      <c r="A73" s="6" t="s">
        <v>1548</v>
      </c>
      <c r="B73" s="3" t="s">
        <v>1549</v>
      </c>
      <c r="C73" s="4">
        <v>1</v>
      </c>
      <c r="D73" s="5">
        <v>89.5</v>
      </c>
      <c r="E73" s="4" t="s">
        <v>1550</v>
      </c>
      <c r="F73" s="3" t="s">
        <v>6496</v>
      </c>
      <c r="G73" s="7" t="s">
        <v>5562</v>
      </c>
      <c r="H73" s="3" t="s">
        <v>5617</v>
      </c>
      <c r="I73" s="3" t="s">
        <v>5618</v>
      </c>
      <c r="J73" s="3" t="s">
        <v>5536</v>
      </c>
      <c r="K73" s="3" t="s">
        <v>5574</v>
      </c>
      <c r="L73" s="8" t="str">
        <f>HYPERLINK("http://slimages.macys.com/is/image/MCY/15722434 ")</f>
        <v xml:space="preserve">http://slimages.macys.com/is/image/MCY/15722434 </v>
      </c>
    </row>
    <row r="74" spans="1:12" ht="24.75" x14ac:dyDescent="0.25">
      <c r="A74" s="6" t="s">
        <v>1551</v>
      </c>
      <c r="B74" s="3" t="s">
        <v>5725</v>
      </c>
      <c r="C74" s="4">
        <v>1</v>
      </c>
      <c r="D74" s="5">
        <v>60</v>
      </c>
      <c r="E74" s="4">
        <v>1345612</v>
      </c>
      <c r="F74" s="3" t="s">
        <v>5625</v>
      </c>
      <c r="G74" s="7" t="s">
        <v>5562</v>
      </c>
      <c r="H74" s="3" t="s">
        <v>5726</v>
      </c>
      <c r="I74" s="3" t="s">
        <v>5726</v>
      </c>
      <c r="J74" s="3" t="s">
        <v>5536</v>
      </c>
      <c r="K74" s="3" t="s">
        <v>5727</v>
      </c>
      <c r="L74" s="8" t="str">
        <f>HYPERLINK("http://slimages.macys.com/is/image/MCY/14465936 ")</f>
        <v xml:space="preserve">http://slimages.macys.com/is/image/MCY/14465936 </v>
      </c>
    </row>
    <row r="75" spans="1:12" ht="24.75" x14ac:dyDescent="0.25">
      <c r="A75" s="6" t="s">
        <v>1552</v>
      </c>
      <c r="B75" s="3" t="s">
        <v>1553</v>
      </c>
      <c r="C75" s="4">
        <v>1</v>
      </c>
      <c r="D75" s="5">
        <v>69.5</v>
      </c>
      <c r="E75" s="4" t="s">
        <v>1554</v>
      </c>
      <c r="F75" s="3" t="s">
        <v>5977</v>
      </c>
      <c r="G75" s="7" t="s">
        <v>6862</v>
      </c>
      <c r="H75" s="3" t="s">
        <v>7211</v>
      </c>
      <c r="I75" s="3" t="s">
        <v>7212</v>
      </c>
      <c r="J75" s="3" t="s">
        <v>5536</v>
      </c>
      <c r="K75" s="3" t="s">
        <v>5558</v>
      </c>
      <c r="L75" s="8" t="str">
        <f>HYPERLINK("http://slimages.macys.com/is/image/MCY/14332979 ")</f>
        <v xml:space="preserve">http://slimages.macys.com/is/image/MCY/14332979 </v>
      </c>
    </row>
    <row r="76" spans="1:12" ht="24.75" x14ac:dyDescent="0.25">
      <c r="A76" s="6" t="s">
        <v>1555</v>
      </c>
      <c r="B76" s="3" t="s">
        <v>1556</v>
      </c>
      <c r="C76" s="4">
        <v>1</v>
      </c>
      <c r="D76" s="5">
        <v>59.99</v>
      </c>
      <c r="E76" s="4">
        <v>187570028</v>
      </c>
      <c r="F76" s="3" t="s">
        <v>5640</v>
      </c>
      <c r="G76" s="7" t="s">
        <v>1557</v>
      </c>
      <c r="H76" s="3" t="s">
        <v>5789</v>
      </c>
      <c r="I76" s="3" t="s">
        <v>5607</v>
      </c>
      <c r="J76" s="3" t="s">
        <v>5536</v>
      </c>
      <c r="K76" s="3" t="s">
        <v>1558</v>
      </c>
      <c r="L76" s="8" t="str">
        <f>HYPERLINK("http://slimages.macys.com/is/image/MCY/14453669 ")</f>
        <v xml:space="preserve">http://slimages.macys.com/is/image/MCY/14453669 </v>
      </c>
    </row>
    <row r="77" spans="1:12" ht="24.75" x14ac:dyDescent="0.25">
      <c r="A77" s="6" t="s">
        <v>1559</v>
      </c>
      <c r="B77" s="3" t="s">
        <v>1560</v>
      </c>
      <c r="C77" s="4">
        <v>1</v>
      </c>
      <c r="D77" s="5">
        <v>59.99</v>
      </c>
      <c r="E77" s="4">
        <v>187570025</v>
      </c>
      <c r="F77" s="3" t="s">
        <v>5540</v>
      </c>
      <c r="G77" s="7" t="s">
        <v>1561</v>
      </c>
      <c r="H77" s="3" t="s">
        <v>5789</v>
      </c>
      <c r="I77" s="3" t="s">
        <v>5607</v>
      </c>
      <c r="J77" s="3" t="s">
        <v>5536</v>
      </c>
      <c r="K77" s="3" t="s">
        <v>1562</v>
      </c>
      <c r="L77" s="8" t="str">
        <f>HYPERLINK("http://slimages.macys.com/is/image/MCY/8154020 ")</f>
        <v xml:space="preserve">http://slimages.macys.com/is/image/MCY/8154020 </v>
      </c>
    </row>
    <row r="78" spans="1:12" ht="24.75" x14ac:dyDescent="0.25">
      <c r="A78" s="6" t="s">
        <v>1563</v>
      </c>
      <c r="B78" s="3" t="s">
        <v>1564</v>
      </c>
      <c r="C78" s="4">
        <v>1</v>
      </c>
      <c r="D78" s="5">
        <v>49.5</v>
      </c>
      <c r="E78" s="4">
        <v>711704248016</v>
      </c>
      <c r="F78" s="3" t="s">
        <v>5532</v>
      </c>
      <c r="G78" s="7"/>
      <c r="H78" s="3" t="s">
        <v>1430</v>
      </c>
      <c r="I78" s="3" t="s">
        <v>5535</v>
      </c>
      <c r="J78" s="3" t="s">
        <v>5536</v>
      </c>
      <c r="K78" s="3" t="s">
        <v>5549</v>
      </c>
      <c r="L78" s="8" t="str">
        <f>HYPERLINK("http://slimages.macys.com/is/image/MCY/14412100 ")</f>
        <v xml:space="preserve">http://slimages.macys.com/is/image/MCY/14412100 </v>
      </c>
    </row>
    <row r="79" spans="1:12" ht="24.75" x14ac:dyDescent="0.25">
      <c r="A79" s="6" t="s">
        <v>1565</v>
      </c>
      <c r="B79" s="3" t="s">
        <v>1566</v>
      </c>
      <c r="C79" s="4">
        <v>1</v>
      </c>
      <c r="D79" s="5">
        <v>69.989999999999995</v>
      </c>
      <c r="E79" s="4" t="s">
        <v>1567</v>
      </c>
      <c r="F79" s="3" t="s">
        <v>5532</v>
      </c>
      <c r="G79" s="7" t="s">
        <v>6875</v>
      </c>
      <c r="H79" s="3" t="s">
        <v>1568</v>
      </c>
      <c r="I79" s="3" t="s">
        <v>3431</v>
      </c>
      <c r="J79" s="3" t="s">
        <v>5536</v>
      </c>
      <c r="K79" s="3" t="s">
        <v>1569</v>
      </c>
      <c r="L79" s="8" t="str">
        <f>HYPERLINK("http://slimages.macys.com/is/image/MCY/10515715 ")</f>
        <v xml:space="preserve">http://slimages.macys.com/is/image/MCY/10515715 </v>
      </c>
    </row>
    <row r="80" spans="1:12" ht="24.75" x14ac:dyDescent="0.25">
      <c r="A80" s="6" t="s">
        <v>1570</v>
      </c>
      <c r="B80" s="3" t="s">
        <v>1571</v>
      </c>
      <c r="C80" s="4">
        <v>1</v>
      </c>
      <c r="D80" s="5">
        <v>59.5</v>
      </c>
      <c r="E80" s="4" t="s">
        <v>1572</v>
      </c>
      <c r="F80" s="3" t="s">
        <v>5783</v>
      </c>
      <c r="G80" s="7" t="s">
        <v>5562</v>
      </c>
      <c r="H80" s="3" t="s">
        <v>5715</v>
      </c>
      <c r="I80" s="3" t="s">
        <v>5716</v>
      </c>
      <c r="J80" s="3" t="s">
        <v>5536</v>
      </c>
      <c r="K80" s="3" t="s">
        <v>5594</v>
      </c>
      <c r="L80" s="8" t="str">
        <f>HYPERLINK("http://slimages.macys.com/is/image/MCY/9366588 ")</f>
        <v xml:space="preserve">http://slimages.macys.com/is/image/MCY/9366588 </v>
      </c>
    </row>
    <row r="81" spans="1:12" ht="24.75" x14ac:dyDescent="0.25">
      <c r="A81" s="6" t="s">
        <v>1573</v>
      </c>
      <c r="B81" s="3" t="s">
        <v>1574</v>
      </c>
      <c r="C81" s="4">
        <v>1</v>
      </c>
      <c r="D81" s="5">
        <v>59.5</v>
      </c>
      <c r="E81" s="4" t="s">
        <v>1575</v>
      </c>
      <c r="F81" s="3" t="s">
        <v>5811</v>
      </c>
      <c r="G81" s="7" t="s">
        <v>5562</v>
      </c>
      <c r="H81" s="3" t="s">
        <v>5715</v>
      </c>
      <c r="I81" s="3" t="s">
        <v>5716</v>
      </c>
      <c r="J81" s="3" t="s">
        <v>5536</v>
      </c>
      <c r="K81" s="3" t="s">
        <v>5594</v>
      </c>
      <c r="L81" s="8" t="str">
        <f>HYPERLINK("http://slimages.macys.com/is/image/MCY/14368197 ")</f>
        <v xml:space="preserve">http://slimages.macys.com/is/image/MCY/14368197 </v>
      </c>
    </row>
    <row r="82" spans="1:12" ht="24.75" x14ac:dyDescent="0.25">
      <c r="A82" s="6" t="s">
        <v>1576</v>
      </c>
      <c r="B82" s="3" t="s">
        <v>1577</v>
      </c>
      <c r="C82" s="4">
        <v>1</v>
      </c>
      <c r="D82" s="5">
        <v>69</v>
      </c>
      <c r="E82" s="4" t="s">
        <v>1578</v>
      </c>
      <c r="F82" s="3" t="s">
        <v>5604</v>
      </c>
      <c r="G82" s="7" t="s">
        <v>5562</v>
      </c>
      <c r="H82" s="3" t="s">
        <v>2792</v>
      </c>
      <c r="I82" s="3" t="s">
        <v>2793</v>
      </c>
      <c r="J82" s="3" t="s">
        <v>5536</v>
      </c>
      <c r="K82" s="3" t="s">
        <v>5549</v>
      </c>
      <c r="L82" s="8" t="str">
        <f>HYPERLINK("http://slimages.macys.com/is/image/MCY/14587387 ")</f>
        <v xml:space="preserve">http://slimages.macys.com/is/image/MCY/14587387 </v>
      </c>
    </row>
    <row r="83" spans="1:12" ht="24.75" x14ac:dyDescent="0.25">
      <c r="A83" s="6" t="s">
        <v>1579</v>
      </c>
      <c r="B83" s="3" t="s">
        <v>1580</v>
      </c>
      <c r="C83" s="4">
        <v>1</v>
      </c>
      <c r="D83" s="5">
        <v>59.99</v>
      </c>
      <c r="E83" s="4" t="s">
        <v>1581</v>
      </c>
      <c r="F83" s="3" t="s">
        <v>5783</v>
      </c>
      <c r="G83" s="7" t="s">
        <v>5562</v>
      </c>
      <c r="H83" s="3" t="s">
        <v>5617</v>
      </c>
      <c r="I83" s="3" t="s">
        <v>5618</v>
      </c>
      <c r="J83" s="3" t="s">
        <v>5536</v>
      </c>
      <c r="K83" s="3" t="s">
        <v>5594</v>
      </c>
      <c r="L83" s="8" t="str">
        <f>HYPERLINK("http://slimages.macys.com/is/image/MCY/14383257 ")</f>
        <v xml:space="preserve">http://slimages.macys.com/is/image/MCY/14383257 </v>
      </c>
    </row>
    <row r="84" spans="1:12" ht="24.75" x14ac:dyDescent="0.25">
      <c r="A84" s="6" t="s">
        <v>1582</v>
      </c>
      <c r="B84" s="3" t="s">
        <v>1580</v>
      </c>
      <c r="C84" s="4">
        <v>1</v>
      </c>
      <c r="D84" s="5">
        <v>59.99</v>
      </c>
      <c r="E84" s="4" t="s">
        <v>1583</v>
      </c>
      <c r="F84" s="3" t="s">
        <v>5803</v>
      </c>
      <c r="G84" s="7" t="s">
        <v>5596</v>
      </c>
      <c r="H84" s="3" t="s">
        <v>5617</v>
      </c>
      <c r="I84" s="3" t="s">
        <v>5618</v>
      </c>
      <c r="J84" s="3" t="s">
        <v>5536</v>
      </c>
      <c r="K84" s="3" t="s">
        <v>5558</v>
      </c>
      <c r="L84" s="8" t="str">
        <f>HYPERLINK("http://slimages.macys.com/is/image/MCY/15214000 ")</f>
        <v xml:space="preserve">http://slimages.macys.com/is/image/MCY/15214000 </v>
      </c>
    </row>
    <row r="85" spans="1:12" x14ac:dyDescent="0.25">
      <c r="A85" s="6" t="s">
        <v>1584</v>
      </c>
      <c r="B85" s="3" t="s">
        <v>1585</v>
      </c>
      <c r="C85" s="4">
        <v>1</v>
      </c>
      <c r="D85" s="5">
        <v>59.99</v>
      </c>
      <c r="E85" s="4">
        <v>1848621</v>
      </c>
      <c r="F85" s="3" t="s">
        <v>5820</v>
      </c>
      <c r="G85" s="7" t="s">
        <v>5533</v>
      </c>
      <c r="H85" s="3" t="s">
        <v>5929</v>
      </c>
      <c r="I85" s="3" t="s">
        <v>5930</v>
      </c>
      <c r="J85" s="3" t="s">
        <v>5536</v>
      </c>
      <c r="K85" s="3" t="s">
        <v>5727</v>
      </c>
      <c r="L85" s="8" t="str">
        <f>HYPERLINK("http://slimages.macys.com/is/image/MCY/10435193 ")</f>
        <v xml:space="preserve">http://slimages.macys.com/is/image/MCY/10435193 </v>
      </c>
    </row>
    <row r="86" spans="1:12" ht="24.75" x14ac:dyDescent="0.25">
      <c r="A86" s="6" t="s">
        <v>1586</v>
      </c>
      <c r="B86" s="3" t="s">
        <v>4692</v>
      </c>
      <c r="C86" s="4">
        <v>1</v>
      </c>
      <c r="D86" s="5">
        <v>64.989999999999995</v>
      </c>
      <c r="E86" s="4" t="s">
        <v>5753</v>
      </c>
      <c r="F86" s="3" t="s">
        <v>5610</v>
      </c>
      <c r="G86" s="7"/>
      <c r="H86" s="3" t="s">
        <v>5722</v>
      </c>
      <c r="I86" s="3" t="s">
        <v>5756</v>
      </c>
      <c r="J86" s="3" t="s">
        <v>5536</v>
      </c>
      <c r="K86" s="3" t="s">
        <v>5549</v>
      </c>
      <c r="L86" s="8" t="str">
        <f>HYPERLINK("http://slimages.macys.com/is/image/MCY/8823845 ")</f>
        <v xml:space="preserve">http://slimages.macys.com/is/image/MCY/8823845 </v>
      </c>
    </row>
    <row r="87" spans="1:12" ht="24.75" x14ac:dyDescent="0.25">
      <c r="A87" s="6" t="s">
        <v>1587</v>
      </c>
      <c r="B87" s="3" t="s">
        <v>5752</v>
      </c>
      <c r="C87" s="4">
        <v>1</v>
      </c>
      <c r="D87" s="5">
        <v>64.989999999999995</v>
      </c>
      <c r="E87" s="4" t="s">
        <v>5753</v>
      </c>
      <c r="F87" s="3" t="s">
        <v>5754</v>
      </c>
      <c r="G87" s="7"/>
      <c r="H87" s="3" t="s">
        <v>5722</v>
      </c>
      <c r="I87" s="3" t="s">
        <v>5756</v>
      </c>
      <c r="J87" s="3" t="s">
        <v>5536</v>
      </c>
      <c r="K87" s="3" t="s">
        <v>5549</v>
      </c>
      <c r="L87" s="8" t="str">
        <f>HYPERLINK("http://slimages.macys.com/is/image/MCY/8823845 ")</f>
        <v xml:space="preserve">http://slimages.macys.com/is/image/MCY/8823845 </v>
      </c>
    </row>
    <row r="88" spans="1:12" ht="24.75" x14ac:dyDescent="0.25">
      <c r="A88" s="6" t="s">
        <v>4697</v>
      </c>
      <c r="B88" s="3" t="s">
        <v>5781</v>
      </c>
      <c r="C88" s="4">
        <v>3</v>
      </c>
      <c r="D88" s="5">
        <v>194.97</v>
      </c>
      <c r="E88" s="4" t="s">
        <v>4698</v>
      </c>
      <c r="F88" s="3" t="s">
        <v>5532</v>
      </c>
      <c r="G88" s="7"/>
      <c r="H88" s="3" t="s">
        <v>5722</v>
      </c>
      <c r="I88" s="3" t="s">
        <v>5773</v>
      </c>
      <c r="J88" s="3" t="s">
        <v>5536</v>
      </c>
      <c r="K88" s="3" t="s">
        <v>5784</v>
      </c>
      <c r="L88" s="8" t="str">
        <f>HYPERLINK("http://slimages.macys.com/is/image/MCY/14441827 ")</f>
        <v xml:space="preserve">http://slimages.macys.com/is/image/MCY/14441827 </v>
      </c>
    </row>
    <row r="89" spans="1:12" ht="24.75" x14ac:dyDescent="0.25">
      <c r="A89" s="6" t="s">
        <v>5763</v>
      </c>
      <c r="B89" s="3" t="s">
        <v>5758</v>
      </c>
      <c r="C89" s="4">
        <v>1</v>
      </c>
      <c r="D89" s="5">
        <v>64.989999999999995</v>
      </c>
      <c r="E89" s="4" t="s">
        <v>5759</v>
      </c>
      <c r="F89" s="3" t="s">
        <v>5754</v>
      </c>
      <c r="G89" s="7" t="s">
        <v>5764</v>
      </c>
      <c r="H89" s="3" t="s">
        <v>5722</v>
      </c>
      <c r="I89" s="3" t="s">
        <v>5756</v>
      </c>
      <c r="J89" s="3" t="s">
        <v>5536</v>
      </c>
      <c r="K89" s="3" t="s">
        <v>5594</v>
      </c>
      <c r="L89" s="8" t="str">
        <f>HYPERLINK("http://slimages.macys.com/is/image/MCY/3974531 ")</f>
        <v xml:space="preserve">http://slimages.macys.com/is/image/MCY/3974531 </v>
      </c>
    </row>
    <row r="90" spans="1:12" ht="24.75" x14ac:dyDescent="0.25">
      <c r="A90" s="6" t="s">
        <v>1588</v>
      </c>
      <c r="B90" s="3" t="s">
        <v>5758</v>
      </c>
      <c r="C90" s="4">
        <v>1</v>
      </c>
      <c r="D90" s="5">
        <v>64.989999999999995</v>
      </c>
      <c r="E90" s="4" t="s">
        <v>5759</v>
      </c>
      <c r="F90" s="3" t="s">
        <v>5754</v>
      </c>
      <c r="G90" s="7" t="s">
        <v>5830</v>
      </c>
      <c r="H90" s="3" t="s">
        <v>5722</v>
      </c>
      <c r="I90" s="3" t="s">
        <v>5756</v>
      </c>
      <c r="J90" s="3" t="s">
        <v>5536</v>
      </c>
      <c r="K90" s="3" t="s">
        <v>5594</v>
      </c>
      <c r="L90" s="8" t="str">
        <f>HYPERLINK("http://slimages.macys.com/is/image/MCY/3974531 ")</f>
        <v xml:space="preserve">http://slimages.macys.com/is/image/MCY/3974531 </v>
      </c>
    </row>
    <row r="91" spans="1:12" ht="24.75" x14ac:dyDescent="0.25">
      <c r="A91" s="6" t="s">
        <v>5767</v>
      </c>
      <c r="B91" s="3" t="s">
        <v>5758</v>
      </c>
      <c r="C91" s="4">
        <v>1</v>
      </c>
      <c r="D91" s="5">
        <v>64.989999999999995</v>
      </c>
      <c r="E91" s="4" t="s">
        <v>5759</v>
      </c>
      <c r="F91" s="3" t="s">
        <v>5754</v>
      </c>
      <c r="G91" s="7" t="s">
        <v>5768</v>
      </c>
      <c r="H91" s="3" t="s">
        <v>5722</v>
      </c>
      <c r="I91" s="3" t="s">
        <v>5756</v>
      </c>
      <c r="J91" s="3" t="s">
        <v>5536</v>
      </c>
      <c r="K91" s="3" t="s">
        <v>5594</v>
      </c>
      <c r="L91" s="8" t="str">
        <f>HYPERLINK("http://slimages.macys.com/is/image/MCY/3974531 ")</f>
        <v xml:space="preserve">http://slimages.macys.com/is/image/MCY/3974531 </v>
      </c>
    </row>
    <row r="92" spans="1:12" ht="24.75" x14ac:dyDescent="0.25">
      <c r="A92" s="6" t="s">
        <v>1589</v>
      </c>
      <c r="B92" s="3" t="s">
        <v>5752</v>
      </c>
      <c r="C92" s="4">
        <v>1</v>
      </c>
      <c r="D92" s="5">
        <v>64.989999999999995</v>
      </c>
      <c r="E92" s="4" t="s">
        <v>5753</v>
      </c>
      <c r="F92" s="3" t="s">
        <v>5754</v>
      </c>
      <c r="G92" s="7" t="s">
        <v>5762</v>
      </c>
      <c r="H92" s="3" t="s">
        <v>5722</v>
      </c>
      <c r="I92" s="3" t="s">
        <v>5756</v>
      </c>
      <c r="J92" s="3" t="s">
        <v>5536</v>
      </c>
      <c r="K92" s="3" t="s">
        <v>5549</v>
      </c>
      <c r="L92" s="8" t="str">
        <f>HYPERLINK("http://slimages.macys.com/is/image/MCY/8823845 ")</f>
        <v xml:space="preserve">http://slimages.macys.com/is/image/MCY/8823845 </v>
      </c>
    </row>
    <row r="93" spans="1:12" ht="24.75" x14ac:dyDescent="0.25">
      <c r="A93" s="6" t="s">
        <v>5785</v>
      </c>
      <c r="B93" s="3" t="s">
        <v>5752</v>
      </c>
      <c r="C93" s="4">
        <v>1</v>
      </c>
      <c r="D93" s="5">
        <v>64.989999999999995</v>
      </c>
      <c r="E93" s="4" t="s">
        <v>5753</v>
      </c>
      <c r="F93" s="3" t="s">
        <v>5754</v>
      </c>
      <c r="G93" s="7" t="s">
        <v>5760</v>
      </c>
      <c r="H93" s="3" t="s">
        <v>5722</v>
      </c>
      <c r="I93" s="3" t="s">
        <v>5756</v>
      </c>
      <c r="J93" s="3" t="s">
        <v>5536</v>
      </c>
      <c r="K93" s="3" t="s">
        <v>5549</v>
      </c>
      <c r="L93" s="8" t="str">
        <f>HYPERLINK("http://slimages.macys.com/is/image/MCY/8823845 ")</f>
        <v xml:space="preserve">http://slimages.macys.com/is/image/MCY/8823845 </v>
      </c>
    </row>
    <row r="94" spans="1:12" ht="24.75" x14ac:dyDescent="0.25">
      <c r="A94" s="6" t="s">
        <v>1590</v>
      </c>
      <c r="B94" s="3" t="s">
        <v>1591</v>
      </c>
      <c r="C94" s="4">
        <v>1</v>
      </c>
      <c r="D94" s="5">
        <v>64.989999999999995</v>
      </c>
      <c r="E94" s="4" t="s">
        <v>1592</v>
      </c>
      <c r="F94" s="3" t="s">
        <v>5532</v>
      </c>
      <c r="G94" s="7" t="s">
        <v>5768</v>
      </c>
      <c r="H94" s="3" t="s">
        <v>5722</v>
      </c>
      <c r="I94" s="3" t="s">
        <v>5773</v>
      </c>
      <c r="J94" s="3" t="s">
        <v>5536</v>
      </c>
      <c r="K94" s="3" t="s">
        <v>1593</v>
      </c>
      <c r="L94" s="8" t="str">
        <f>HYPERLINK("http://slimages.macys.com/is/image/MCY/11670790 ")</f>
        <v xml:space="preserve">http://slimages.macys.com/is/image/MCY/11670790 </v>
      </c>
    </row>
    <row r="95" spans="1:12" ht="24.75" x14ac:dyDescent="0.25">
      <c r="A95" s="6" t="s">
        <v>4691</v>
      </c>
      <c r="B95" s="3" t="s">
        <v>4692</v>
      </c>
      <c r="C95" s="4">
        <v>1</v>
      </c>
      <c r="D95" s="5">
        <v>64.989999999999995</v>
      </c>
      <c r="E95" s="4" t="s">
        <v>5753</v>
      </c>
      <c r="F95" s="3" t="s">
        <v>5610</v>
      </c>
      <c r="G95" s="7"/>
      <c r="H95" s="3" t="s">
        <v>5722</v>
      </c>
      <c r="I95" s="3" t="s">
        <v>5756</v>
      </c>
      <c r="J95" s="3" t="s">
        <v>5536</v>
      </c>
      <c r="K95" s="3" t="s">
        <v>5549</v>
      </c>
      <c r="L95" s="8" t="str">
        <f>HYPERLINK("http://slimages.macys.com/is/image/MCY/8823845 ")</f>
        <v xml:space="preserve">http://slimages.macys.com/is/image/MCY/8823845 </v>
      </c>
    </row>
    <row r="96" spans="1:12" ht="24.75" x14ac:dyDescent="0.25">
      <c r="A96" s="6" t="s">
        <v>1594</v>
      </c>
      <c r="B96" s="3" t="s">
        <v>5752</v>
      </c>
      <c r="C96" s="4">
        <v>1</v>
      </c>
      <c r="D96" s="5">
        <v>64.989999999999995</v>
      </c>
      <c r="E96" s="4" t="s">
        <v>5753</v>
      </c>
      <c r="F96" s="3" t="s">
        <v>5754</v>
      </c>
      <c r="G96" s="7" t="s">
        <v>5816</v>
      </c>
      <c r="H96" s="3" t="s">
        <v>5722</v>
      </c>
      <c r="I96" s="3" t="s">
        <v>5756</v>
      </c>
      <c r="J96" s="3" t="s">
        <v>5536</v>
      </c>
      <c r="K96" s="3" t="s">
        <v>5549</v>
      </c>
      <c r="L96" s="8" t="str">
        <f>HYPERLINK("http://slimages.macys.com/is/image/MCY/8823845 ")</f>
        <v xml:space="preserve">http://slimages.macys.com/is/image/MCY/8823845 </v>
      </c>
    </row>
    <row r="97" spans="1:12" ht="24.75" x14ac:dyDescent="0.25">
      <c r="A97" s="6" t="s">
        <v>1595</v>
      </c>
      <c r="B97" s="3" t="s">
        <v>1596</v>
      </c>
      <c r="C97" s="4">
        <v>1</v>
      </c>
      <c r="D97" s="5">
        <v>59.5</v>
      </c>
      <c r="E97" s="4" t="s">
        <v>1597</v>
      </c>
      <c r="F97" s="3" t="s">
        <v>6496</v>
      </c>
      <c r="G97" s="7" t="s">
        <v>5533</v>
      </c>
      <c r="H97" s="3" t="s">
        <v>5794</v>
      </c>
      <c r="I97" s="3" t="s">
        <v>5795</v>
      </c>
      <c r="J97" s="3" t="s">
        <v>5536</v>
      </c>
      <c r="K97" s="3" t="s">
        <v>5594</v>
      </c>
      <c r="L97" s="8" t="str">
        <f>HYPERLINK("http://slimages.macys.com/is/image/MCY/12793064 ")</f>
        <v xml:space="preserve">http://slimages.macys.com/is/image/MCY/12793064 </v>
      </c>
    </row>
    <row r="98" spans="1:12" ht="60.75" x14ac:dyDescent="0.25">
      <c r="A98" s="6" t="s">
        <v>1598</v>
      </c>
      <c r="B98" s="3" t="s">
        <v>1599</v>
      </c>
      <c r="C98" s="4">
        <v>1</v>
      </c>
      <c r="D98" s="5">
        <v>58</v>
      </c>
      <c r="E98" s="4" t="s">
        <v>1600</v>
      </c>
      <c r="F98" s="3" t="s">
        <v>5803</v>
      </c>
      <c r="G98" s="7" t="s">
        <v>5629</v>
      </c>
      <c r="H98" s="3" t="s">
        <v>7042</v>
      </c>
      <c r="I98" s="3" t="s">
        <v>1601</v>
      </c>
      <c r="J98" s="3" t="s">
        <v>5536</v>
      </c>
      <c r="K98" s="3" t="s">
        <v>1602</v>
      </c>
      <c r="L98" s="8" t="str">
        <f>HYPERLINK("http://slimages.macys.com/is/image/MCY/8009118 ")</f>
        <v xml:space="preserve">http://slimages.macys.com/is/image/MCY/8009118 </v>
      </c>
    </row>
    <row r="99" spans="1:12" ht="24.75" x14ac:dyDescent="0.25">
      <c r="A99" s="6" t="s">
        <v>1603</v>
      </c>
      <c r="B99" s="3" t="s">
        <v>1604</v>
      </c>
      <c r="C99" s="4">
        <v>1</v>
      </c>
      <c r="D99" s="5">
        <v>49.99</v>
      </c>
      <c r="E99" s="4">
        <v>15604891</v>
      </c>
      <c r="F99" s="3" t="s">
        <v>6983</v>
      </c>
      <c r="G99" s="7" t="s">
        <v>1561</v>
      </c>
      <c r="H99" s="3" t="s">
        <v>5789</v>
      </c>
      <c r="I99" s="3" t="s">
        <v>5607</v>
      </c>
      <c r="J99" s="3" t="s">
        <v>5536</v>
      </c>
      <c r="K99" s="3" t="s">
        <v>5553</v>
      </c>
      <c r="L99" s="8" t="str">
        <f>HYPERLINK("http://slimages.macys.com/is/image/MCY/1022118 ")</f>
        <v xml:space="preserve">http://slimages.macys.com/is/image/MCY/1022118 </v>
      </c>
    </row>
    <row r="100" spans="1:12" x14ac:dyDescent="0.25">
      <c r="A100" s="6" t="s">
        <v>1605</v>
      </c>
      <c r="B100" s="3" t="s">
        <v>1606</v>
      </c>
      <c r="C100" s="4">
        <v>1</v>
      </c>
      <c r="D100" s="5">
        <v>65</v>
      </c>
      <c r="E100" s="4" t="s">
        <v>1607</v>
      </c>
      <c r="F100" s="3" t="s">
        <v>5783</v>
      </c>
      <c r="G100" s="7" t="s">
        <v>5582</v>
      </c>
      <c r="H100" s="3" t="s">
        <v>5547</v>
      </c>
      <c r="I100" s="3" t="s">
        <v>5548</v>
      </c>
      <c r="J100" s="3" t="s">
        <v>5536</v>
      </c>
      <c r="K100" s="3" t="s">
        <v>5549</v>
      </c>
      <c r="L100" s="8" t="str">
        <f>HYPERLINK("http://slimages.macys.com/is/image/MCY/15440510 ")</f>
        <v xml:space="preserve">http://slimages.macys.com/is/image/MCY/15440510 </v>
      </c>
    </row>
    <row r="101" spans="1:12" ht="60.75" x14ac:dyDescent="0.25">
      <c r="A101" s="6" t="s">
        <v>1608</v>
      </c>
      <c r="B101" s="3" t="s">
        <v>1609</v>
      </c>
      <c r="C101" s="4">
        <v>1</v>
      </c>
      <c r="D101" s="5">
        <v>58</v>
      </c>
      <c r="E101" s="4" t="s">
        <v>1610</v>
      </c>
      <c r="F101" s="3" t="s">
        <v>5793</v>
      </c>
      <c r="G101" s="7" t="s">
        <v>5567</v>
      </c>
      <c r="H101" s="3" t="s">
        <v>7042</v>
      </c>
      <c r="I101" s="3" t="s">
        <v>1601</v>
      </c>
      <c r="J101" s="3" t="s">
        <v>5536</v>
      </c>
      <c r="K101" s="3" t="s">
        <v>1602</v>
      </c>
      <c r="L101" s="8" t="str">
        <f>HYPERLINK("http://slimages.macys.com/is/image/MCY/8009128 ")</f>
        <v xml:space="preserve">http://slimages.macys.com/is/image/MCY/8009128 </v>
      </c>
    </row>
    <row r="102" spans="1:12" ht="24.75" x14ac:dyDescent="0.25">
      <c r="A102" s="6" t="s">
        <v>1611</v>
      </c>
      <c r="B102" s="3" t="s">
        <v>1612</v>
      </c>
      <c r="C102" s="4">
        <v>1</v>
      </c>
      <c r="D102" s="5">
        <v>65</v>
      </c>
      <c r="E102" s="4" t="s">
        <v>1613</v>
      </c>
      <c r="F102" s="3" t="s">
        <v>5540</v>
      </c>
      <c r="G102" s="7" t="s">
        <v>5533</v>
      </c>
      <c r="H102" s="3" t="s">
        <v>2687</v>
      </c>
      <c r="I102" s="3" t="s">
        <v>2688</v>
      </c>
      <c r="J102" s="3" t="s">
        <v>5536</v>
      </c>
      <c r="K102" s="3" t="s">
        <v>5549</v>
      </c>
      <c r="L102" s="8" t="str">
        <f>HYPERLINK("http://slimages.macys.com/is/image/MCY/15003010 ")</f>
        <v xml:space="preserve">http://slimages.macys.com/is/image/MCY/15003010 </v>
      </c>
    </row>
    <row r="103" spans="1:12" ht="24.75" x14ac:dyDescent="0.25">
      <c r="A103" s="6" t="s">
        <v>1614</v>
      </c>
      <c r="B103" s="3" t="s">
        <v>1436</v>
      </c>
      <c r="C103" s="4">
        <v>1</v>
      </c>
      <c r="D103" s="5">
        <v>60</v>
      </c>
      <c r="E103" s="4" t="s">
        <v>1615</v>
      </c>
      <c r="F103" s="3" t="s">
        <v>5532</v>
      </c>
      <c r="G103" s="7" t="s">
        <v>3487</v>
      </c>
      <c r="H103" s="3" t="s">
        <v>5862</v>
      </c>
      <c r="I103" s="3" t="s">
        <v>5934</v>
      </c>
      <c r="J103" s="3" t="s">
        <v>5536</v>
      </c>
      <c r="K103" s="3" t="s">
        <v>1439</v>
      </c>
      <c r="L103" s="8" t="str">
        <f>HYPERLINK("http://slimages.macys.com/is/image/MCY/11406479 ")</f>
        <v xml:space="preserve">http://slimages.macys.com/is/image/MCY/11406479 </v>
      </c>
    </row>
    <row r="104" spans="1:12" ht="24.75" x14ac:dyDescent="0.25">
      <c r="A104" s="6" t="s">
        <v>5457</v>
      </c>
      <c r="B104" s="3" t="s">
        <v>5810</v>
      </c>
      <c r="C104" s="4">
        <v>1</v>
      </c>
      <c r="D104" s="5">
        <v>69.5</v>
      </c>
      <c r="E104" s="4">
        <v>100038288</v>
      </c>
      <c r="F104" s="3" t="s">
        <v>5811</v>
      </c>
      <c r="G104" s="7" t="s">
        <v>5662</v>
      </c>
      <c r="H104" s="3" t="s">
        <v>5585</v>
      </c>
      <c r="I104" s="3" t="s">
        <v>5586</v>
      </c>
      <c r="J104" s="3" t="s">
        <v>5536</v>
      </c>
      <c r="K104" s="3" t="s">
        <v>5727</v>
      </c>
      <c r="L104" s="8" t="str">
        <f>HYPERLINK("http://slimages.macys.com/is/image/MCY/11231691 ")</f>
        <v xml:space="preserve">http://slimages.macys.com/is/image/MCY/11231691 </v>
      </c>
    </row>
    <row r="105" spans="1:12" ht="24.75" x14ac:dyDescent="0.25">
      <c r="A105" s="6" t="s">
        <v>1616</v>
      </c>
      <c r="B105" s="3" t="s">
        <v>1617</v>
      </c>
      <c r="C105" s="4">
        <v>1</v>
      </c>
      <c r="D105" s="5">
        <v>58</v>
      </c>
      <c r="E105" s="4" t="s">
        <v>3597</v>
      </c>
      <c r="F105" s="3" t="s">
        <v>5820</v>
      </c>
      <c r="G105" s="7" t="s">
        <v>5626</v>
      </c>
      <c r="H105" s="3" t="s">
        <v>5617</v>
      </c>
      <c r="I105" s="3" t="s">
        <v>5618</v>
      </c>
      <c r="J105" s="3" t="s">
        <v>5536</v>
      </c>
      <c r="K105" s="3" t="s">
        <v>3598</v>
      </c>
      <c r="L105" s="8" t="str">
        <f>HYPERLINK("http://slimages.macys.com/is/image/MCY/9900931 ")</f>
        <v xml:space="preserve">http://slimages.macys.com/is/image/MCY/9900931 </v>
      </c>
    </row>
    <row r="106" spans="1:12" ht="24.75" x14ac:dyDescent="0.25">
      <c r="A106" s="6" t="s">
        <v>1618</v>
      </c>
      <c r="B106" s="3" t="s">
        <v>5813</v>
      </c>
      <c r="C106" s="4">
        <v>1</v>
      </c>
      <c r="D106" s="5">
        <v>57.99</v>
      </c>
      <c r="E106" s="4" t="s">
        <v>5814</v>
      </c>
      <c r="F106" s="3" t="s">
        <v>5815</v>
      </c>
      <c r="G106" s="7" t="s">
        <v>5824</v>
      </c>
      <c r="H106" s="3" t="s">
        <v>5722</v>
      </c>
      <c r="I106" s="3" t="s">
        <v>5773</v>
      </c>
      <c r="J106" s="3" t="s">
        <v>5536</v>
      </c>
      <c r="K106" s="3" t="s">
        <v>5558</v>
      </c>
      <c r="L106" s="8" t="str">
        <f>HYPERLINK("http://slimages.macys.com/is/image/MCY/8837853 ")</f>
        <v xml:space="preserve">http://slimages.macys.com/is/image/MCY/8837853 </v>
      </c>
    </row>
    <row r="107" spans="1:12" ht="24.75" x14ac:dyDescent="0.25">
      <c r="A107" s="6" t="s">
        <v>1619</v>
      </c>
      <c r="B107" s="3" t="s">
        <v>3818</v>
      </c>
      <c r="C107" s="4">
        <v>1</v>
      </c>
      <c r="D107" s="5">
        <v>59.5</v>
      </c>
      <c r="E107" s="4" t="s">
        <v>3819</v>
      </c>
      <c r="F107" s="3" t="s">
        <v>5945</v>
      </c>
      <c r="G107" s="7" t="s">
        <v>1620</v>
      </c>
      <c r="H107" s="3" t="s">
        <v>3821</v>
      </c>
      <c r="I107" s="3" t="s">
        <v>3822</v>
      </c>
      <c r="J107" s="3" t="s">
        <v>5536</v>
      </c>
      <c r="K107" s="3" t="s">
        <v>5553</v>
      </c>
      <c r="L107" s="8" t="str">
        <f>HYPERLINK("http://slimages.macys.com/is/image/MCY/973155 ")</f>
        <v xml:space="preserve">http://slimages.macys.com/is/image/MCY/973155 </v>
      </c>
    </row>
    <row r="108" spans="1:12" ht="24.75" x14ac:dyDescent="0.25">
      <c r="A108" s="6" t="s">
        <v>1621</v>
      </c>
      <c r="B108" s="3" t="s">
        <v>1622</v>
      </c>
      <c r="C108" s="4">
        <v>1</v>
      </c>
      <c r="D108" s="5">
        <v>64.989999999999995</v>
      </c>
      <c r="E108" s="4" t="s">
        <v>795</v>
      </c>
      <c r="F108" s="3" t="s">
        <v>7010</v>
      </c>
      <c r="G108" s="7" t="s">
        <v>5755</v>
      </c>
      <c r="H108" s="3" t="s">
        <v>5722</v>
      </c>
      <c r="I108" s="3" t="s">
        <v>5773</v>
      </c>
      <c r="J108" s="3" t="s">
        <v>5536</v>
      </c>
      <c r="K108" s="3" t="s">
        <v>5558</v>
      </c>
      <c r="L108" s="8" t="str">
        <f>HYPERLINK("http://slimages.macys.com/is/image/MCY/15145752 ")</f>
        <v xml:space="preserve">http://slimages.macys.com/is/image/MCY/15145752 </v>
      </c>
    </row>
    <row r="109" spans="1:12" ht="24.75" x14ac:dyDescent="0.25">
      <c r="A109" s="6" t="s">
        <v>4730</v>
      </c>
      <c r="B109" s="3" t="s">
        <v>5813</v>
      </c>
      <c r="C109" s="4">
        <v>1</v>
      </c>
      <c r="D109" s="5">
        <v>57.99</v>
      </c>
      <c r="E109" s="4" t="s">
        <v>5814</v>
      </c>
      <c r="F109" s="3" t="s">
        <v>5815</v>
      </c>
      <c r="G109" s="7" t="s">
        <v>5755</v>
      </c>
      <c r="H109" s="3" t="s">
        <v>5722</v>
      </c>
      <c r="I109" s="3" t="s">
        <v>5773</v>
      </c>
      <c r="J109" s="3" t="s">
        <v>5536</v>
      </c>
      <c r="K109" s="3" t="s">
        <v>5558</v>
      </c>
      <c r="L109" s="8" t="str">
        <f>HYPERLINK("http://slimages.macys.com/is/image/MCY/8837853 ")</f>
        <v xml:space="preserve">http://slimages.macys.com/is/image/MCY/8837853 </v>
      </c>
    </row>
    <row r="110" spans="1:12" ht="24.75" x14ac:dyDescent="0.25">
      <c r="A110" s="6" t="s">
        <v>1623</v>
      </c>
      <c r="B110" s="3" t="s">
        <v>3830</v>
      </c>
      <c r="C110" s="4">
        <v>1</v>
      </c>
      <c r="D110" s="5">
        <v>69.5</v>
      </c>
      <c r="E110" s="4" t="s">
        <v>3831</v>
      </c>
      <c r="F110" s="3" t="s">
        <v>5783</v>
      </c>
      <c r="G110" s="7" t="s">
        <v>5562</v>
      </c>
      <c r="H110" s="3" t="s">
        <v>5617</v>
      </c>
      <c r="I110" s="3" t="s">
        <v>5618</v>
      </c>
      <c r="J110" s="3" t="s">
        <v>5536</v>
      </c>
      <c r="K110" s="3" t="s">
        <v>5594</v>
      </c>
      <c r="L110" s="8" t="str">
        <f>HYPERLINK("http://slimages.macys.com/is/image/MCY/14795797 ")</f>
        <v xml:space="preserve">http://slimages.macys.com/is/image/MCY/14795797 </v>
      </c>
    </row>
    <row r="111" spans="1:12" ht="24.75" x14ac:dyDescent="0.25">
      <c r="A111" s="6" t="s">
        <v>1624</v>
      </c>
      <c r="B111" s="3" t="s">
        <v>3830</v>
      </c>
      <c r="C111" s="4">
        <v>1</v>
      </c>
      <c r="D111" s="5">
        <v>69.5</v>
      </c>
      <c r="E111" s="4" t="s">
        <v>3831</v>
      </c>
      <c r="F111" s="3" t="s">
        <v>5754</v>
      </c>
      <c r="G111" s="7" t="s">
        <v>5596</v>
      </c>
      <c r="H111" s="3" t="s">
        <v>5617</v>
      </c>
      <c r="I111" s="3" t="s">
        <v>5618</v>
      </c>
      <c r="J111" s="3" t="s">
        <v>5536</v>
      </c>
      <c r="K111" s="3" t="s">
        <v>5594</v>
      </c>
      <c r="L111" s="8" t="str">
        <f>HYPERLINK("http://slimages.macys.com/is/image/MCY/14795797 ")</f>
        <v xml:space="preserve">http://slimages.macys.com/is/image/MCY/14795797 </v>
      </c>
    </row>
    <row r="112" spans="1:12" ht="24.75" x14ac:dyDescent="0.25">
      <c r="A112" s="6" t="s">
        <v>4731</v>
      </c>
      <c r="B112" s="3" t="s">
        <v>3830</v>
      </c>
      <c r="C112" s="4">
        <v>1</v>
      </c>
      <c r="D112" s="5">
        <v>69.5</v>
      </c>
      <c r="E112" s="4" t="s">
        <v>3831</v>
      </c>
      <c r="F112" s="3" t="s">
        <v>5540</v>
      </c>
      <c r="G112" s="7" t="s">
        <v>5560</v>
      </c>
      <c r="H112" s="3" t="s">
        <v>5617</v>
      </c>
      <c r="I112" s="3" t="s">
        <v>5618</v>
      </c>
      <c r="J112" s="3" t="s">
        <v>5536</v>
      </c>
      <c r="K112" s="3" t="s">
        <v>5594</v>
      </c>
      <c r="L112" s="8" t="str">
        <f>HYPERLINK("http://slimages.macys.com/is/image/MCY/14795797 ")</f>
        <v xml:space="preserve">http://slimages.macys.com/is/image/MCY/14795797 </v>
      </c>
    </row>
    <row r="113" spans="1:12" ht="24.75" x14ac:dyDescent="0.25">
      <c r="A113" s="6" t="s">
        <v>1625</v>
      </c>
      <c r="B113" s="3" t="s">
        <v>1626</v>
      </c>
      <c r="C113" s="4">
        <v>1</v>
      </c>
      <c r="D113" s="5">
        <v>69.5</v>
      </c>
      <c r="E113" s="4" t="s">
        <v>1627</v>
      </c>
      <c r="F113" s="3" t="s">
        <v>5610</v>
      </c>
      <c r="G113" s="7" t="s">
        <v>5596</v>
      </c>
      <c r="H113" s="3" t="s">
        <v>5617</v>
      </c>
      <c r="I113" s="3" t="s">
        <v>5618</v>
      </c>
      <c r="J113" s="3" t="s">
        <v>5536</v>
      </c>
      <c r="K113" s="3" t="s">
        <v>5965</v>
      </c>
      <c r="L113" s="8" t="str">
        <f>HYPERLINK("http://slimages.macys.com/is/image/MCY/13080832 ")</f>
        <v xml:space="preserve">http://slimages.macys.com/is/image/MCY/13080832 </v>
      </c>
    </row>
    <row r="114" spans="1:12" ht="24.75" x14ac:dyDescent="0.25">
      <c r="A114" s="6" t="s">
        <v>1628</v>
      </c>
      <c r="B114" s="3" t="s">
        <v>1629</v>
      </c>
      <c r="C114" s="4">
        <v>1</v>
      </c>
      <c r="D114" s="5">
        <v>80</v>
      </c>
      <c r="E114" s="4">
        <v>100079853</v>
      </c>
      <c r="F114" s="3" t="s">
        <v>5578</v>
      </c>
      <c r="G114" s="7" t="s">
        <v>5562</v>
      </c>
      <c r="H114" s="3" t="s">
        <v>5585</v>
      </c>
      <c r="I114" s="3" t="s">
        <v>5586</v>
      </c>
      <c r="J114" s="3" t="s">
        <v>5536</v>
      </c>
      <c r="K114" s="3" t="s">
        <v>6266</v>
      </c>
      <c r="L114" s="8" t="str">
        <f>HYPERLINK("http://slimages.macys.com/is/image/MCY/14578169 ")</f>
        <v xml:space="preserve">http://slimages.macys.com/is/image/MCY/14578169 </v>
      </c>
    </row>
    <row r="115" spans="1:12" ht="24.75" x14ac:dyDescent="0.25">
      <c r="A115" s="6" t="s">
        <v>1630</v>
      </c>
      <c r="B115" s="3" t="s">
        <v>1631</v>
      </c>
      <c r="C115" s="4">
        <v>1</v>
      </c>
      <c r="D115" s="5">
        <v>55</v>
      </c>
      <c r="E115" s="4" t="s">
        <v>1632</v>
      </c>
      <c r="F115" s="3" t="s">
        <v>5793</v>
      </c>
      <c r="G115" s="7" t="s">
        <v>5598</v>
      </c>
      <c r="H115" s="3" t="s">
        <v>7211</v>
      </c>
      <c r="I115" s="3" t="s">
        <v>7212</v>
      </c>
      <c r="J115" s="3" t="s">
        <v>5536</v>
      </c>
      <c r="K115" s="3" t="s">
        <v>5727</v>
      </c>
      <c r="L115" s="8" t="str">
        <f>HYPERLINK("http://slimages.macys.com/is/image/MCY/12724479 ")</f>
        <v xml:space="preserve">http://slimages.macys.com/is/image/MCY/12724479 </v>
      </c>
    </row>
    <row r="116" spans="1:12" ht="24.75" x14ac:dyDescent="0.25">
      <c r="A116" s="6" t="s">
        <v>1633</v>
      </c>
      <c r="B116" s="3" t="s">
        <v>3600</v>
      </c>
      <c r="C116" s="4">
        <v>1</v>
      </c>
      <c r="D116" s="5">
        <v>55</v>
      </c>
      <c r="E116" s="4" t="s">
        <v>3601</v>
      </c>
      <c r="F116" s="3" t="s">
        <v>5604</v>
      </c>
      <c r="G116" s="7" t="s">
        <v>5598</v>
      </c>
      <c r="H116" s="3" t="s">
        <v>7211</v>
      </c>
      <c r="I116" s="3" t="s">
        <v>7212</v>
      </c>
      <c r="J116" s="3" t="s">
        <v>5536</v>
      </c>
      <c r="K116" s="3" t="s">
        <v>5727</v>
      </c>
      <c r="L116" s="8" t="str">
        <f>HYPERLINK("http://slimages.macys.com/is/image/MCY/12716226 ")</f>
        <v xml:space="preserve">http://slimages.macys.com/is/image/MCY/12716226 </v>
      </c>
    </row>
    <row r="117" spans="1:12" ht="24.75" x14ac:dyDescent="0.25">
      <c r="A117" s="6" t="s">
        <v>1634</v>
      </c>
      <c r="B117" s="3" t="s">
        <v>1635</v>
      </c>
      <c r="C117" s="4">
        <v>1</v>
      </c>
      <c r="D117" s="5">
        <v>89.5</v>
      </c>
      <c r="E117" s="4" t="s">
        <v>1636</v>
      </c>
      <c r="F117" s="3" t="s">
        <v>5540</v>
      </c>
      <c r="G117" s="7" t="s">
        <v>3820</v>
      </c>
      <c r="H117" s="3" t="s">
        <v>5585</v>
      </c>
      <c r="I117" s="3" t="s">
        <v>2737</v>
      </c>
      <c r="J117" s="3" t="s">
        <v>5536</v>
      </c>
      <c r="K117" s="3" t="s">
        <v>5864</v>
      </c>
      <c r="L117" s="8" t="str">
        <f>HYPERLINK("http://slimages.macys.com/is/image/MCY/15327946 ")</f>
        <v xml:space="preserve">http://slimages.macys.com/is/image/MCY/15327946 </v>
      </c>
    </row>
    <row r="118" spans="1:12" ht="24.75" x14ac:dyDescent="0.25">
      <c r="A118" s="6" t="s">
        <v>1637</v>
      </c>
      <c r="B118" s="3" t="s">
        <v>1638</v>
      </c>
      <c r="C118" s="4">
        <v>1</v>
      </c>
      <c r="D118" s="5">
        <v>44</v>
      </c>
      <c r="E118" s="4" t="s">
        <v>1639</v>
      </c>
      <c r="F118" s="3" t="s">
        <v>1640</v>
      </c>
      <c r="G118" s="7" t="s">
        <v>5598</v>
      </c>
      <c r="H118" s="3" t="s">
        <v>5868</v>
      </c>
      <c r="I118" s="3" t="s">
        <v>5869</v>
      </c>
      <c r="J118" s="3" t="s">
        <v>5536</v>
      </c>
      <c r="K118" s="3" t="s">
        <v>5594</v>
      </c>
      <c r="L118" s="8" t="str">
        <f>HYPERLINK("http://slimages.macys.com/is/image/MCY/13745843 ")</f>
        <v xml:space="preserve">http://slimages.macys.com/is/image/MCY/13745843 </v>
      </c>
    </row>
    <row r="119" spans="1:12" ht="24.75" x14ac:dyDescent="0.25">
      <c r="A119" s="6" t="s">
        <v>1641</v>
      </c>
      <c r="B119" s="3" t="s">
        <v>1642</v>
      </c>
      <c r="C119" s="4">
        <v>1</v>
      </c>
      <c r="D119" s="5">
        <v>54.99</v>
      </c>
      <c r="E119" s="4" t="s">
        <v>1643</v>
      </c>
      <c r="F119" s="3" t="s">
        <v>5625</v>
      </c>
      <c r="G119" s="7" t="s">
        <v>5861</v>
      </c>
      <c r="H119" s="3" t="s">
        <v>5862</v>
      </c>
      <c r="I119" s="3" t="s">
        <v>6204</v>
      </c>
      <c r="J119" s="3" t="s">
        <v>5536</v>
      </c>
      <c r="K119" s="3" t="s">
        <v>5935</v>
      </c>
      <c r="L119" s="8" t="str">
        <f>HYPERLINK("http://slimages.macys.com/is/image/MCY/14366017 ")</f>
        <v xml:space="preserve">http://slimages.macys.com/is/image/MCY/14366017 </v>
      </c>
    </row>
    <row r="120" spans="1:12" ht="24.75" x14ac:dyDescent="0.25">
      <c r="A120" s="6" t="s">
        <v>1644</v>
      </c>
      <c r="B120" s="3" t="s">
        <v>1645</v>
      </c>
      <c r="C120" s="4">
        <v>1</v>
      </c>
      <c r="D120" s="5">
        <v>45</v>
      </c>
      <c r="E120" s="4">
        <v>939137</v>
      </c>
      <c r="F120" s="3"/>
      <c r="G120" s="7" t="s">
        <v>5596</v>
      </c>
      <c r="H120" s="3" t="s">
        <v>4379</v>
      </c>
      <c r="I120" s="3" t="s">
        <v>5296</v>
      </c>
      <c r="J120" s="3" t="s">
        <v>5536</v>
      </c>
      <c r="K120" s="3" t="s">
        <v>5353</v>
      </c>
      <c r="L120" s="8" t="str">
        <f>HYPERLINK("http://slimages.macys.com/is/image/MCY/12279205 ")</f>
        <v xml:space="preserve">http://slimages.macys.com/is/image/MCY/12279205 </v>
      </c>
    </row>
    <row r="121" spans="1:12" ht="24.75" x14ac:dyDescent="0.25">
      <c r="A121" s="6" t="s">
        <v>1646</v>
      </c>
      <c r="B121" s="3" t="s">
        <v>5818</v>
      </c>
      <c r="C121" s="4">
        <v>1</v>
      </c>
      <c r="D121" s="5">
        <v>69.989999999999995</v>
      </c>
      <c r="E121" s="4" t="s">
        <v>5819</v>
      </c>
      <c r="F121" s="3" t="s">
        <v>5820</v>
      </c>
      <c r="G121" s="7" t="s">
        <v>5766</v>
      </c>
      <c r="H121" s="3" t="s">
        <v>5722</v>
      </c>
      <c r="I121" s="3" t="s">
        <v>5756</v>
      </c>
      <c r="J121" s="3" t="s">
        <v>5536</v>
      </c>
      <c r="K121" s="3" t="s">
        <v>5641</v>
      </c>
      <c r="L121" s="8" t="str">
        <f>HYPERLINK("http://slimages.macys.com/is/image/MCY/14800616 ")</f>
        <v xml:space="preserve">http://slimages.macys.com/is/image/MCY/14800616 </v>
      </c>
    </row>
    <row r="122" spans="1:12" ht="24.75" x14ac:dyDescent="0.25">
      <c r="A122" s="6" t="s">
        <v>1647</v>
      </c>
      <c r="B122" s="3" t="s">
        <v>4740</v>
      </c>
      <c r="C122" s="4">
        <v>1</v>
      </c>
      <c r="D122" s="5">
        <v>69.989999999999995</v>
      </c>
      <c r="E122" s="4" t="s">
        <v>4741</v>
      </c>
      <c r="F122" s="3" t="s">
        <v>5625</v>
      </c>
      <c r="G122" s="7" t="s">
        <v>5824</v>
      </c>
      <c r="H122" s="3" t="s">
        <v>5722</v>
      </c>
      <c r="I122" s="3" t="s">
        <v>5756</v>
      </c>
      <c r="J122" s="3" t="s">
        <v>5536</v>
      </c>
      <c r="K122" s="3" t="s">
        <v>5641</v>
      </c>
      <c r="L122" s="8" t="str">
        <f>HYPERLINK("http://slimages.macys.com/is/image/MCY/14573227 ")</f>
        <v xml:space="preserve">http://slimages.macys.com/is/image/MCY/14573227 </v>
      </c>
    </row>
    <row r="123" spans="1:12" ht="24.75" x14ac:dyDescent="0.25">
      <c r="A123" s="6" t="s">
        <v>1648</v>
      </c>
      <c r="B123" s="3" t="s">
        <v>4740</v>
      </c>
      <c r="C123" s="4">
        <v>1</v>
      </c>
      <c r="D123" s="5">
        <v>69.989999999999995</v>
      </c>
      <c r="E123" s="4" t="s">
        <v>4741</v>
      </c>
      <c r="F123" s="3" t="s">
        <v>5625</v>
      </c>
      <c r="G123" s="7" t="s">
        <v>5764</v>
      </c>
      <c r="H123" s="3" t="s">
        <v>5722</v>
      </c>
      <c r="I123" s="3" t="s">
        <v>5756</v>
      </c>
      <c r="J123" s="3" t="s">
        <v>5536</v>
      </c>
      <c r="K123" s="3" t="s">
        <v>5641</v>
      </c>
      <c r="L123" s="8" t="str">
        <f>HYPERLINK("http://slimages.macys.com/is/image/MCY/14573227 ")</f>
        <v xml:space="preserve">http://slimages.macys.com/is/image/MCY/14573227 </v>
      </c>
    </row>
    <row r="124" spans="1:12" ht="24.75" x14ac:dyDescent="0.25">
      <c r="A124" s="6" t="s">
        <v>1649</v>
      </c>
      <c r="B124" s="3" t="s">
        <v>4740</v>
      </c>
      <c r="C124" s="4">
        <v>1</v>
      </c>
      <c r="D124" s="5">
        <v>69.989999999999995</v>
      </c>
      <c r="E124" s="4" t="s">
        <v>4741</v>
      </c>
      <c r="F124" s="3" t="s">
        <v>5625</v>
      </c>
      <c r="G124" s="7" t="s">
        <v>5768</v>
      </c>
      <c r="H124" s="3" t="s">
        <v>5722</v>
      </c>
      <c r="I124" s="3" t="s">
        <v>5756</v>
      </c>
      <c r="J124" s="3" t="s">
        <v>5536</v>
      </c>
      <c r="K124" s="3" t="s">
        <v>5641</v>
      </c>
      <c r="L124" s="8" t="str">
        <f>HYPERLINK("http://slimages.macys.com/is/image/MCY/14573227 ")</f>
        <v xml:space="preserve">http://slimages.macys.com/is/image/MCY/14573227 </v>
      </c>
    </row>
    <row r="125" spans="1:12" x14ac:dyDescent="0.25">
      <c r="A125" s="6" t="s">
        <v>1650</v>
      </c>
      <c r="B125" s="3" t="s">
        <v>1651</v>
      </c>
      <c r="C125" s="4">
        <v>1</v>
      </c>
      <c r="D125" s="5">
        <v>49</v>
      </c>
      <c r="E125" s="4" t="s">
        <v>1652</v>
      </c>
      <c r="F125" s="3" t="s">
        <v>1653</v>
      </c>
      <c r="G125" s="7" t="s">
        <v>5582</v>
      </c>
      <c r="H125" s="3" t="s">
        <v>5547</v>
      </c>
      <c r="I125" s="3" t="s">
        <v>5548</v>
      </c>
      <c r="J125" s="3" t="s">
        <v>5536</v>
      </c>
      <c r="K125" s="3" t="s">
        <v>5594</v>
      </c>
      <c r="L125" s="8" t="str">
        <f>HYPERLINK("http://slimages.macys.com/is/image/MCY/14803414 ")</f>
        <v xml:space="preserve">http://slimages.macys.com/is/image/MCY/14803414 </v>
      </c>
    </row>
    <row r="126" spans="1:12" x14ac:dyDescent="0.25">
      <c r="A126" s="6" t="s">
        <v>1654</v>
      </c>
      <c r="B126" s="3" t="s">
        <v>1655</v>
      </c>
      <c r="C126" s="4">
        <v>1</v>
      </c>
      <c r="D126" s="5">
        <v>49</v>
      </c>
      <c r="E126" s="4" t="s">
        <v>1656</v>
      </c>
      <c r="F126" s="3" t="s">
        <v>5552</v>
      </c>
      <c r="G126" s="7" t="s">
        <v>5573</v>
      </c>
      <c r="H126" s="3" t="s">
        <v>5547</v>
      </c>
      <c r="I126" s="3" t="s">
        <v>5548</v>
      </c>
      <c r="J126" s="3" t="s">
        <v>5536</v>
      </c>
      <c r="K126" s="3" t="s">
        <v>5594</v>
      </c>
      <c r="L126" s="8" t="str">
        <f>HYPERLINK("http://slimages.macys.com/is/image/MCY/13791191 ")</f>
        <v xml:space="preserve">http://slimages.macys.com/is/image/MCY/13791191 </v>
      </c>
    </row>
    <row r="127" spans="1:12" x14ac:dyDescent="0.25">
      <c r="A127" s="6" t="s">
        <v>1657</v>
      </c>
      <c r="B127" s="3" t="s">
        <v>1655</v>
      </c>
      <c r="C127" s="4">
        <v>1</v>
      </c>
      <c r="D127" s="5">
        <v>49</v>
      </c>
      <c r="E127" s="4" t="s">
        <v>1656</v>
      </c>
      <c r="F127" s="3" t="s">
        <v>5552</v>
      </c>
      <c r="G127" s="7" t="s">
        <v>5562</v>
      </c>
      <c r="H127" s="3" t="s">
        <v>5547</v>
      </c>
      <c r="I127" s="3" t="s">
        <v>5548</v>
      </c>
      <c r="J127" s="3" t="s">
        <v>5536</v>
      </c>
      <c r="K127" s="3" t="s">
        <v>5594</v>
      </c>
      <c r="L127" s="8" t="str">
        <f>HYPERLINK("http://slimages.macys.com/is/image/MCY/13791191 ")</f>
        <v xml:space="preserve">http://slimages.macys.com/is/image/MCY/13791191 </v>
      </c>
    </row>
    <row r="128" spans="1:12" ht="24.75" x14ac:dyDescent="0.25">
      <c r="A128" s="6" t="s">
        <v>1658</v>
      </c>
      <c r="B128" s="3" t="s">
        <v>1659</v>
      </c>
      <c r="C128" s="4">
        <v>1</v>
      </c>
      <c r="D128" s="5">
        <v>62</v>
      </c>
      <c r="E128" s="4" t="s">
        <v>1660</v>
      </c>
      <c r="F128" s="3" t="s">
        <v>5783</v>
      </c>
      <c r="G128" s="7" t="s">
        <v>5816</v>
      </c>
      <c r="H128" s="3" t="s">
        <v>5722</v>
      </c>
      <c r="I128" s="3" t="s">
        <v>5773</v>
      </c>
      <c r="J128" s="3" t="s">
        <v>5536</v>
      </c>
      <c r="K128" s="3" t="s">
        <v>5594</v>
      </c>
      <c r="L128" s="8" t="str">
        <f>HYPERLINK("http://slimages.macys.com/is/image/MCY/9353566 ")</f>
        <v xml:space="preserve">http://slimages.macys.com/is/image/MCY/9353566 </v>
      </c>
    </row>
    <row r="129" spans="1:12" ht="24.75" x14ac:dyDescent="0.25">
      <c r="A129" s="6" t="s">
        <v>1661</v>
      </c>
      <c r="B129" s="3" t="s">
        <v>1662</v>
      </c>
      <c r="C129" s="4">
        <v>1</v>
      </c>
      <c r="D129" s="5">
        <v>49.5</v>
      </c>
      <c r="E129" s="4" t="s">
        <v>1663</v>
      </c>
      <c r="F129" s="3"/>
      <c r="G129" s="7" t="s">
        <v>5596</v>
      </c>
      <c r="H129" s="3" t="s">
        <v>5715</v>
      </c>
      <c r="I129" s="3" t="s">
        <v>5716</v>
      </c>
      <c r="J129" s="3" t="s">
        <v>5536</v>
      </c>
      <c r="K129" s="3" t="s">
        <v>5594</v>
      </c>
      <c r="L129" s="8" t="str">
        <f>HYPERLINK("http://slimages.macys.com/is/image/MCY/14357644 ")</f>
        <v xml:space="preserve">http://slimages.macys.com/is/image/MCY/14357644 </v>
      </c>
    </row>
    <row r="130" spans="1:12" ht="24.75" x14ac:dyDescent="0.25">
      <c r="A130" s="6" t="s">
        <v>1664</v>
      </c>
      <c r="B130" s="3" t="s">
        <v>1665</v>
      </c>
      <c r="C130" s="4">
        <v>1</v>
      </c>
      <c r="D130" s="5">
        <v>59.99</v>
      </c>
      <c r="E130" s="4" t="s">
        <v>1666</v>
      </c>
      <c r="F130" s="3" t="s">
        <v>5552</v>
      </c>
      <c r="G130" s="7" t="s">
        <v>5560</v>
      </c>
      <c r="H130" s="3" t="s">
        <v>5877</v>
      </c>
      <c r="I130" s="3" t="s">
        <v>5878</v>
      </c>
      <c r="J130" s="3" t="s">
        <v>5536</v>
      </c>
      <c r="K130" s="3" t="s">
        <v>1667</v>
      </c>
      <c r="L130" s="8" t="str">
        <f>HYPERLINK("http://slimages.macys.com/is/image/MCY/14824516 ")</f>
        <v xml:space="preserve">http://slimages.macys.com/is/image/MCY/14824516 </v>
      </c>
    </row>
    <row r="131" spans="1:12" x14ac:dyDescent="0.25">
      <c r="A131" s="6" t="s">
        <v>1668</v>
      </c>
      <c r="B131" s="3" t="s">
        <v>1669</v>
      </c>
      <c r="C131" s="4">
        <v>1</v>
      </c>
      <c r="D131" s="5">
        <v>55</v>
      </c>
      <c r="E131" s="4" t="s">
        <v>1670</v>
      </c>
      <c r="F131" s="3" t="s">
        <v>5578</v>
      </c>
      <c r="G131" s="7" t="s">
        <v>1671</v>
      </c>
      <c r="H131" s="3" t="s">
        <v>3821</v>
      </c>
      <c r="I131" s="3" t="s">
        <v>3822</v>
      </c>
      <c r="J131" s="3" t="s">
        <v>5536</v>
      </c>
      <c r="K131" s="3" t="s">
        <v>5594</v>
      </c>
      <c r="L131" s="8" t="str">
        <f>HYPERLINK("http://slimages.macys.com/is/image/MCY/11623953 ")</f>
        <v xml:space="preserve">http://slimages.macys.com/is/image/MCY/11623953 </v>
      </c>
    </row>
    <row r="132" spans="1:12" ht="24.75" x14ac:dyDescent="0.25">
      <c r="A132" s="6" t="s">
        <v>4747</v>
      </c>
      <c r="B132" s="3" t="s">
        <v>5822</v>
      </c>
      <c r="C132" s="4">
        <v>1</v>
      </c>
      <c r="D132" s="5">
        <v>23</v>
      </c>
      <c r="E132" s="4" t="s">
        <v>5823</v>
      </c>
      <c r="F132" s="3" t="s">
        <v>5532</v>
      </c>
      <c r="G132" s="7"/>
      <c r="H132" s="3" t="s">
        <v>5825</v>
      </c>
      <c r="I132" s="3" t="s">
        <v>5826</v>
      </c>
      <c r="J132" s="3" t="s">
        <v>5536</v>
      </c>
      <c r="K132" s="3" t="s">
        <v>5549</v>
      </c>
      <c r="L132" s="8" t="str">
        <f t="shared" ref="L132:L141" si="0">HYPERLINK("http://slimages.macys.com/is/image/MCY/16268498 ")</f>
        <v xml:space="preserve">http://slimages.macys.com/is/image/MCY/16268498 </v>
      </c>
    </row>
    <row r="133" spans="1:12" ht="24.75" x14ac:dyDescent="0.25">
      <c r="A133" s="6" t="s">
        <v>5831</v>
      </c>
      <c r="B133" s="3" t="s">
        <v>5822</v>
      </c>
      <c r="C133" s="4">
        <v>1</v>
      </c>
      <c r="D133" s="5">
        <v>23</v>
      </c>
      <c r="E133" s="4" t="s">
        <v>5823</v>
      </c>
      <c r="F133" s="3" t="s">
        <v>5532</v>
      </c>
      <c r="G133" s="7" t="s">
        <v>5768</v>
      </c>
      <c r="H133" s="3" t="s">
        <v>5825</v>
      </c>
      <c r="I133" s="3" t="s">
        <v>5826</v>
      </c>
      <c r="J133" s="3" t="s">
        <v>5536</v>
      </c>
      <c r="K133" s="3" t="s">
        <v>5549</v>
      </c>
      <c r="L133" s="8" t="str">
        <f t="shared" si="0"/>
        <v xml:space="preserve">http://slimages.macys.com/is/image/MCY/16268498 </v>
      </c>
    </row>
    <row r="134" spans="1:12" ht="24.75" x14ac:dyDescent="0.25">
      <c r="A134" s="6" t="s">
        <v>5832</v>
      </c>
      <c r="B134" s="3" t="s">
        <v>5822</v>
      </c>
      <c r="C134" s="4">
        <v>1</v>
      </c>
      <c r="D134" s="5">
        <v>23</v>
      </c>
      <c r="E134" s="4" t="s">
        <v>5823</v>
      </c>
      <c r="F134" s="3" t="s">
        <v>5532</v>
      </c>
      <c r="G134" s="7" t="s">
        <v>5777</v>
      </c>
      <c r="H134" s="3" t="s">
        <v>5825</v>
      </c>
      <c r="I134" s="3" t="s">
        <v>5826</v>
      </c>
      <c r="J134" s="3" t="s">
        <v>5536</v>
      </c>
      <c r="K134" s="3" t="s">
        <v>5549</v>
      </c>
      <c r="L134" s="8" t="str">
        <f t="shared" si="0"/>
        <v xml:space="preserve">http://slimages.macys.com/is/image/MCY/16268498 </v>
      </c>
    </row>
    <row r="135" spans="1:12" ht="24.75" x14ac:dyDescent="0.25">
      <c r="A135" s="6" t="s">
        <v>5821</v>
      </c>
      <c r="B135" s="3" t="s">
        <v>5822</v>
      </c>
      <c r="C135" s="4">
        <v>2</v>
      </c>
      <c r="D135" s="5">
        <v>46</v>
      </c>
      <c r="E135" s="4" t="s">
        <v>5823</v>
      </c>
      <c r="F135" s="3" t="s">
        <v>5532</v>
      </c>
      <c r="G135" s="7" t="s">
        <v>5824</v>
      </c>
      <c r="H135" s="3" t="s">
        <v>5825</v>
      </c>
      <c r="I135" s="3" t="s">
        <v>5826</v>
      </c>
      <c r="J135" s="3" t="s">
        <v>5536</v>
      </c>
      <c r="K135" s="3" t="s">
        <v>5549</v>
      </c>
      <c r="L135" s="8" t="str">
        <f t="shared" si="0"/>
        <v xml:space="preserve">http://slimages.macys.com/is/image/MCY/16268498 </v>
      </c>
    </row>
    <row r="136" spans="1:12" ht="24.75" x14ac:dyDescent="0.25">
      <c r="A136" s="6" t="s">
        <v>5829</v>
      </c>
      <c r="B136" s="3" t="s">
        <v>5822</v>
      </c>
      <c r="C136" s="4">
        <v>1</v>
      </c>
      <c r="D136" s="5">
        <v>23</v>
      </c>
      <c r="E136" s="4" t="s">
        <v>5823</v>
      </c>
      <c r="F136" s="3" t="s">
        <v>5532</v>
      </c>
      <c r="G136" s="7" t="s">
        <v>5830</v>
      </c>
      <c r="H136" s="3" t="s">
        <v>5825</v>
      </c>
      <c r="I136" s="3" t="s">
        <v>5826</v>
      </c>
      <c r="J136" s="3" t="s">
        <v>5536</v>
      </c>
      <c r="K136" s="3" t="s">
        <v>5549</v>
      </c>
      <c r="L136" s="8" t="str">
        <f t="shared" si="0"/>
        <v xml:space="preserve">http://slimages.macys.com/is/image/MCY/16268498 </v>
      </c>
    </row>
    <row r="137" spans="1:12" ht="24.75" x14ac:dyDescent="0.25">
      <c r="A137" s="6" t="s">
        <v>5827</v>
      </c>
      <c r="B137" s="3" t="s">
        <v>5822</v>
      </c>
      <c r="C137" s="4">
        <v>2</v>
      </c>
      <c r="D137" s="5">
        <v>46</v>
      </c>
      <c r="E137" s="4" t="s">
        <v>5823</v>
      </c>
      <c r="F137" s="3" t="s">
        <v>5532</v>
      </c>
      <c r="G137" s="7" t="s">
        <v>5762</v>
      </c>
      <c r="H137" s="3" t="s">
        <v>5825</v>
      </c>
      <c r="I137" s="3" t="s">
        <v>5826</v>
      </c>
      <c r="J137" s="3" t="s">
        <v>5536</v>
      </c>
      <c r="K137" s="3" t="s">
        <v>5549</v>
      </c>
      <c r="L137" s="8" t="str">
        <f t="shared" si="0"/>
        <v xml:space="preserve">http://slimages.macys.com/is/image/MCY/16268498 </v>
      </c>
    </row>
    <row r="138" spans="1:12" ht="24.75" x14ac:dyDescent="0.25">
      <c r="A138" s="6" t="s">
        <v>5833</v>
      </c>
      <c r="B138" s="3" t="s">
        <v>5822</v>
      </c>
      <c r="C138" s="4">
        <v>1</v>
      </c>
      <c r="D138" s="5">
        <v>23</v>
      </c>
      <c r="E138" s="4" t="s">
        <v>5823</v>
      </c>
      <c r="F138" s="3" t="s">
        <v>5532</v>
      </c>
      <c r="G138" s="7" t="s">
        <v>5764</v>
      </c>
      <c r="H138" s="3" t="s">
        <v>5825</v>
      </c>
      <c r="I138" s="3" t="s">
        <v>5826</v>
      </c>
      <c r="J138" s="3" t="s">
        <v>5536</v>
      </c>
      <c r="K138" s="3" t="s">
        <v>5549</v>
      </c>
      <c r="L138" s="8" t="str">
        <f t="shared" si="0"/>
        <v xml:space="preserve">http://slimages.macys.com/is/image/MCY/16268498 </v>
      </c>
    </row>
    <row r="139" spans="1:12" ht="24.75" x14ac:dyDescent="0.25">
      <c r="A139" s="6" t="s">
        <v>5486</v>
      </c>
      <c r="B139" s="3" t="s">
        <v>5822</v>
      </c>
      <c r="C139" s="4">
        <v>2</v>
      </c>
      <c r="D139" s="5">
        <v>46</v>
      </c>
      <c r="E139" s="4" t="s">
        <v>5823</v>
      </c>
      <c r="F139" s="3" t="s">
        <v>5532</v>
      </c>
      <c r="G139" s="7" t="s">
        <v>5760</v>
      </c>
      <c r="H139" s="3" t="s">
        <v>5825</v>
      </c>
      <c r="I139" s="3" t="s">
        <v>5826</v>
      </c>
      <c r="J139" s="3" t="s">
        <v>5536</v>
      </c>
      <c r="K139" s="3" t="s">
        <v>5549</v>
      </c>
      <c r="L139" s="8" t="str">
        <f t="shared" si="0"/>
        <v xml:space="preserve">http://slimages.macys.com/is/image/MCY/16268498 </v>
      </c>
    </row>
    <row r="140" spans="1:12" ht="24.75" x14ac:dyDescent="0.25">
      <c r="A140" s="6" t="s">
        <v>1672</v>
      </c>
      <c r="B140" s="3" t="s">
        <v>5822</v>
      </c>
      <c r="C140" s="4">
        <v>1</v>
      </c>
      <c r="D140" s="5">
        <v>23</v>
      </c>
      <c r="E140" s="4" t="s">
        <v>5823</v>
      </c>
      <c r="F140" s="3" t="s">
        <v>5532</v>
      </c>
      <c r="G140" s="7" t="s">
        <v>6025</v>
      </c>
      <c r="H140" s="3" t="s">
        <v>5825</v>
      </c>
      <c r="I140" s="3" t="s">
        <v>5826</v>
      </c>
      <c r="J140" s="3" t="s">
        <v>5536</v>
      </c>
      <c r="K140" s="3" t="s">
        <v>5549</v>
      </c>
      <c r="L140" s="8" t="str">
        <f t="shared" si="0"/>
        <v xml:space="preserve">http://slimages.macys.com/is/image/MCY/16268498 </v>
      </c>
    </row>
    <row r="141" spans="1:12" ht="24.75" x14ac:dyDescent="0.25">
      <c r="A141" s="6" t="s">
        <v>1673</v>
      </c>
      <c r="B141" s="3" t="s">
        <v>5822</v>
      </c>
      <c r="C141" s="4">
        <v>1</v>
      </c>
      <c r="D141" s="5">
        <v>23</v>
      </c>
      <c r="E141" s="4" t="s">
        <v>5823</v>
      </c>
      <c r="F141" s="3" t="s">
        <v>5532</v>
      </c>
      <c r="G141" s="7" t="s">
        <v>5779</v>
      </c>
      <c r="H141" s="3" t="s">
        <v>5825</v>
      </c>
      <c r="I141" s="3" t="s">
        <v>5826</v>
      </c>
      <c r="J141" s="3" t="s">
        <v>5536</v>
      </c>
      <c r="K141" s="3" t="s">
        <v>5549</v>
      </c>
      <c r="L141" s="8" t="str">
        <f t="shared" si="0"/>
        <v xml:space="preserve">http://slimages.macys.com/is/image/MCY/16268498 </v>
      </c>
    </row>
    <row r="142" spans="1:12" ht="24.75" x14ac:dyDescent="0.25">
      <c r="A142" s="6" t="s">
        <v>1674</v>
      </c>
      <c r="B142" s="3" t="s">
        <v>1675</v>
      </c>
      <c r="C142" s="4">
        <v>1</v>
      </c>
      <c r="D142" s="5">
        <v>69</v>
      </c>
      <c r="E142" s="4">
        <v>12</v>
      </c>
      <c r="F142" s="3" t="s">
        <v>6217</v>
      </c>
      <c r="G142" s="7" t="s">
        <v>5850</v>
      </c>
      <c r="H142" s="3" t="s">
        <v>2722</v>
      </c>
      <c r="I142" s="3" t="s">
        <v>1676</v>
      </c>
      <c r="J142" s="3" t="s">
        <v>5536</v>
      </c>
      <c r="K142" s="3" t="s">
        <v>5594</v>
      </c>
      <c r="L142" s="8" t="str">
        <f>HYPERLINK("http://slimages.macys.com/is/image/MCY/9941439 ")</f>
        <v xml:space="preserve">http://slimages.macys.com/is/image/MCY/9941439 </v>
      </c>
    </row>
    <row r="143" spans="1:12" ht="24.75" x14ac:dyDescent="0.25">
      <c r="A143" s="6" t="s">
        <v>1677</v>
      </c>
      <c r="B143" s="3" t="s">
        <v>1678</v>
      </c>
      <c r="C143" s="4">
        <v>1</v>
      </c>
      <c r="D143" s="5">
        <v>56</v>
      </c>
      <c r="E143" s="4" t="s">
        <v>1679</v>
      </c>
      <c r="F143" s="3" t="s">
        <v>5783</v>
      </c>
      <c r="G143" s="7" t="s">
        <v>5562</v>
      </c>
      <c r="H143" s="3" t="s">
        <v>7059</v>
      </c>
      <c r="I143" s="3" t="s">
        <v>5934</v>
      </c>
      <c r="J143" s="3" t="s">
        <v>5536</v>
      </c>
      <c r="K143" s="3" t="s">
        <v>6218</v>
      </c>
      <c r="L143" s="8" t="str">
        <f>HYPERLINK("http://slimages.macys.com/is/image/MCY/11512684 ")</f>
        <v xml:space="preserve">http://slimages.macys.com/is/image/MCY/11512684 </v>
      </c>
    </row>
    <row r="144" spans="1:12" ht="24.75" x14ac:dyDescent="0.25">
      <c r="A144" s="6" t="s">
        <v>1680</v>
      </c>
      <c r="B144" s="3" t="s">
        <v>1681</v>
      </c>
      <c r="C144" s="4">
        <v>1</v>
      </c>
      <c r="D144" s="5">
        <v>56</v>
      </c>
      <c r="E144" s="4" t="s">
        <v>1682</v>
      </c>
      <c r="F144" s="3" t="s">
        <v>6983</v>
      </c>
      <c r="G144" s="7" t="s">
        <v>5562</v>
      </c>
      <c r="H144" s="3" t="s">
        <v>7059</v>
      </c>
      <c r="I144" s="3" t="s">
        <v>5934</v>
      </c>
      <c r="J144" s="3" t="s">
        <v>5536</v>
      </c>
      <c r="K144" s="3" t="s">
        <v>6218</v>
      </c>
      <c r="L144" s="8" t="str">
        <f>HYPERLINK("http://slimages.macys.com/is/image/MCY/11512684 ")</f>
        <v xml:space="preserve">http://slimages.macys.com/is/image/MCY/11512684 </v>
      </c>
    </row>
    <row r="145" spans="1:12" ht="24.75" x14ac:dyDescent="0.25">
      <c r="A145" s="6" t="s">
        <v>1683</v>
      </c>
      <c r="B145" s="3" t="s">
        <v>1684</v>
      </c>
      <c r="C145" s="4">
        <v>1</v>
      </c>
      <c r="D145" s="5">
        <v>70</v>
      </c>
      <c r="E145" s="4" t="s">
        <v>1685</v>
      </c>
      <c r="F145" s="3" t="s">
        <v>5532</v>
      </c>
      <c r="G145" s="7"/>
      <c r="H145" s="3" t="s">
        <v>7099</v>
      </c>
      <c r="I145" s="3" t="s">
        <v>5934</v>
      </c>
      <c r="J145" s="3" t="s">
        <v>5536</v>
      </c>
      <c r="K145" s="3" t="s">
        <v>4559</v>
      </c>
      <c r="L145" s="8" t="str">
        <f>HYPERLINK("http://slimages.macys.com/is/image/MCY/3365624 ")</f>
        <v xml:space="preserve">http://slimages.macys.com/is/image/MCY/3365624 </v>
      </c>
    </row>
    <row r="146" spans="1:12" ht="24.75" x14ac:dyDescent="0.25">
      <c r="A146" s="6" t="s">
        <v>5851</v>
      </c>
      <c r="B146" s="3" t="s">
        <v>5848</v>
      </c>
      <c r="C146" s="4">
        <v>1</v>
      </c>
      <c r="D146" s="5">
        <v>34.99</v>
      </c>
      <c r="E146" s="4">
        <v>232510003</v>
      </c>
      <c r="F146" s="3" t="s">
        <v>5849</v>
      </c>
      <c r="G146" s="7" t="s">
        <v>5852</v>
      </c>
      <c r="H146" s="3" t="s">
        <v>5606</v>
      </c>
      <c r="I146" s="3" t="s">
        <v>5607</v>
      </c>
      <c r="J146" s="3" t="s">
        <v>5536</v>
      </c>
      <c r="K146" s="3" t="s">
        <v>5594</v>
      </c>
      <c r="L146" s="8" t="str">
        <f>HYPERLINK("http://slimages.macys.com/is/image/MCY/3266708 ")</f>
        <v xml:space="preserve">http://slimages.macys.com/is/image/MCY/3266708 </v>
      </c>
    </row>
    <row r="147" spans="1:12" x14ac:dyDescent="0.25">
      <c r="A147" s="6" t="s">
        <v>5836</v>
      </c>
      <c r="B147" s="3" t="s">
        <v>5837</v>
      </c>
      <c r="C147" s="4">
        <v>1</v>
      </c>
      <c r="D147" s="5">
        <v>34.99</v>
      </c>
      <c r="E147" s="4">
        <v>232510006</v>
      </c>
      <c r="F147" s="3" t="s">
        <v>5540</v>
      </c>
      <c r="G147" s="7" t="s">
        <v>5838</v>
      </c>
      <c r="H147" s="3" t="s">
        <v>5606</v>
      </c>
      <c r="I147" s="3" t="s">
        <v>5607</v>
      </c>
      <c r="J147" s="3" t="s">
        <v>5536</v>
      </c>
      <c r="K147" s="3" t="s">
        <v>5594</v>
      </c>
      <c r="L147" s="8" t="str">
        <f>HYPERLINK("http://slimages.macys.com/is/image/MCY/3266708 ")</f>
        <v xml:space="preserve">http://slimages.macys.com/is/image/MCY/3266708 </v>
      </c>
    </row>
    <row r="148" spans="1:12" ht="24.75" x14ac:dyDescent="0.25">
      <c r="A148" s="6" t="s">
        <v>5490</v>
      </c>
      <c r="B148" s="3" t="s">
        <v>5491</v>
      </c>
      <c r="C148" s="4">
        <v>1</v>
      </c>
      <c r="D148" s="5">
        <v>44.99</v>
      </c>
      <c r="E148" s="4" t="s">
        <v>5492</v>
      </c>
      <c r="F148" s="3" t="s">
        <v>5616</v>
      </c>
      <c r="G148" s="7" t="s">
        <v>5596</v>
      </c>
      <c r="H148" s="3" t="s">
        <v>5606</v>
      </c>
      <c r="I148" s="3" t="s">
        <v>5914</v>
      </c>
      <c r="J148" s="3" t="s">
        <v>5536</v>
      </c>
      <c r="K148" s="3" t="s">
        <v>5727</v>
      </c>
      <c r="L148" s="8" t="str">
        <f>HYPERLINK("http://slimages.macys.com/is/image/MCY/15255861 ")</f>
        <v xml:space="preserve">http://slimages.macys.com/is/image/MCY/15255861 </v>
      </c>
    </row>
    <row r="149" spans="1:12" x14ac:dyDescent="0.25">
      <c r="A149" s="6" t="s">
        <v>2887</v>
      </c>
      <c r="B149" s="3" t="s">
        <v>5837</v>
      </c>
      <c r="C149" s="4">
        <v>1</v>
      </c>
      <c r="D149" s="5">
        <v>34.99</v>
      </c>
      <c r="E149" s="4">
        <v>232510006</v>
      </c>
      <c r="F149" s="3" t="s">
        <v>5540</v>
      </c>
      <c r="G149" s="7" t="s">
        <v>6491</v>
      </c>
      <c r="H149" s="3" t="s">
        <v>5606</v>
      </c>
      <c r="I149" s="3" t="s">
        <v>5607</v>
      </c>
      <c r="J149" s="3" t="s">
        <v>5536</v>
      </c>
      <c r="K149" s="3" t="s">
        <v>5594</v>
      </c>
      <c r="L149" s="8" t="str">
        <f>HYPERLINK("http://slimages.macys.com/is/image/MCY/3266708 ")</f>
        <v xml:space="preserve">http://slimages.macys.com/is/image/MCY/3266708 </v>
      </c>
    </row>
    <row r="150" spans="1:12" ht="24.75" x14ac:dyDescent="0.25">
      <c r="A150" s="6" t="s">
        <v>3838</v>
      </c>
      <c r="B150" s="3" t="s">
        <v>3839</v>
      </c>
      <c r="C150" s="4">
        <v>1</v>
      </c>
      <c r="D150" s="5">
        <v>55</v>
      </c>
      <c r="E150" s="4" t="s">
        <v>3840</v>
      </c>
      <c r="F150" s="3"/>
      <c r="G150" s="7" t="s">
        <v>5562</v>
      </c>
      <c r="H150" s="3" t="s">
        <v>3841</v>
      </c>
      <c r="I150" s="3" t="s">
        <v>3842</v>
      </c>
      <c r="J150" s="3" t="s">
        <v>5536</v>
      </c>
      <c r="K150" s="3" t="s">
        <v>5549</v>
      </c>
      <c r="L150" s="8" t="str">
        <f>HYPERLINK("http://slimages.macys.com/is/image/MCY/15823283 ")</f>
        <v xml:space="preserve">http://slimages.macys.com/is/image/MCY/15823283 </v>
      </c>
    </row>
    <row r="151" spans="1:12" ht="24.75" x14ac:dyDescent="0.25">
      <c r="A151" s="6" t="s">
        <v>1250</v>
      </c>
      <c r="B151" s="3" t="s">
        <v>5502</v>
      </c>
      <c r="C151" s="4">
        <v>1</v>
      </c>
      <c r="D151" s="5">
        <v>39.99</v>
      </c>
      <c r="E151" s="4" t="s">
        <v>5503</v>
      </c>
      <c r="F151" s="3" t="s">
        <v>5815</v>
      </c>
      <c r="G151" s="7" t="s">
        <v>5533</v>
      </c>
      <c r="H151" s="3" t="s">
        <v>5606</v>
      </c>
      <c r="I151" s="3" t="s">
        <v>5914</v>
      </c>
      <c r="J151" s="3" t="s">
        <v>5536</v>
      </c>
      <c r="K151" s="3" t="s">
        <v>5594</v>
      </c>
      <c r="L151" s="8" t="str">
        <f>HYPERLINK("http://slimages.macys.com/is/image/MCY/11485935 ")</f>
        <v xml:space="preserve">http://slimages.macys.com/is/image/MCY/11485935 </v>
      </c>
    </row>
    <row r="152" spans="1:12" ht="24.75" x14ac:dyDescent="0.25">
      <c r="A152" s="6" t="s">
        <v>5501</v>
      </c>
      <c r="B152" s="3" t="s">
        <v>5502</v>
      </c>
      <c r="C152" s="4">
        <v>1</v>
      </c>
      <c r="D152" s="5">
        <v>39.99</v>
      </c>
      <c r="E152" s="4" t="s">
        <v>5503</v>
      </c>
      <c r="F152" s="3" t="s">
        <v>5815</v>
      </c>
      <c r="G152" s="7" t="s">
        <v>5596</v>
      </c>
      <c r="H152" s="3" t="s">
        <v>5606</v>
      </c>
      <c r="I152" s="3" t="s">
        <v>5914</v>
      </c>
      <c r="J152" s="3" t="s">
        <v>5536</v>
      </c>
      <c r="K152" s="3" t="s">
        <v>5594</v>
      </c>
      <c r="L152" s="8" t="str">
        <f>HYPERLINK("http://slimages.macys.com/is/image/MCY/11485935 ")</f>
        <v xml:space="preserve">http://slimages.macys.com/is/image/MCY/11485935 </v>
      </c>
    </row>
    <row r="153" spans="1:12" ht="24.75" x14ac:dyDescent="0.25">
      <c r="A153" s="6" t="s">
        <v>1686</v>
      </c>
      <c r="B153" s="3" t="s">
        <v>1687</v>
      </c>
      <c r="C153" s="4">
        <v>1</v>
      </c>
      <c r="D153" s="5">
        <v>80</v>
      </c>
      <c r="E153" s="4">
        <v>100079852</v>
      </c>
      <c r="F153" s="3" t="s">
        <v>5783</v>
      </c>
      <c r="G153" s="7" t="s">
        <v>5596</v>
      </c>
      <c r="H153" s="3" t="s">
        <v>5585</v>
      </c>
      <c r="I153" s="3" t="s">
        <v>5586</v>
      </c>
      <c r="J153" s="3" t="s">
        <v>5536</v>
      </c>
      <c r="K153" s="3" t="s">
        <v>6266</v>
      </c>
      <c r="L153" s="8" t="str">
        <f>HYPERLINK("http://slimages.macys.com/is/image/MCY/14578507 ")</f>
        <v xml:space="preserve">http://slimages.macys.com/is/image/MCY/14578507 </v>
      </c>
    </row>
    <row r="154" spans="1:12" ht="24.75" x14ac:dyDescent="0.25">
      <c r="A154" s="6" t="s">
        <v>1688</v>
      </c>
      <c r="B154" s="3" t="s">
        <v>3573</v>
      </c>
      <c r="C154" s="4">
        <v>1</v>
      </c>
      <c r="D154" s="5">
        <v>64.989999999999995</v>
      </c>
      <c r="E154" s="4" t="s">
        <v>3574</v>
      </c>
      <c r="F154" s="3" t="s">
        <v>5925</v>
      </c>
      <c r="G154" s="7"/>
      <c r="H154" s="3" t="s">
        <v>5722</v>
      </c>
      <c r="I154" s="3" t="s">
        <v>5773</v>
      </c>
      <c r="J154" s="3" t="s">
        <v>5536</v>
      </c>
      <c r="K154" s="3" t="s">
        <v>5558</v>
      </c>
      <c r="L154" s="8" t="str">
        <f>HYPERLINK("http://slimages.macys.com/is/image/MCY/11667291 ")</f>
        <v xml:space="preserve">http://slimages.macys.com/is/image/MCY/11667291 </v>
      </c>
    </row>
    <row r="155" spans="1:12" ht="24.75" x14ac:dyDescent="0.25">
      <c r="A155" s="6" t="s">
        <v>1689</v>
      </c>
      <c r="B155" s="3" t="s">
        <v>1690</v>
      </c>
      <c r="C155" s="4">
        <v>1</v>
      </c>
      <c r="D155" s="5">
        <v>44.99</v>
      </c>
      <c r="E155" s="4" t="s">
        <v>1691</v>
      </c>
      <c r="F155" s="3" t="s">
        <v>5604</v>
      </c>
      <c r="G155" s="7" t="s">
        <v>1561</v>
      </c>
      <c r="H155" s="3" t="s">
        <v>5862</v>
      </c>
      <c r="I155" s="3" t="s">
        <v>1692</v>
      </c>
      <c r="J155" s="3" t="s">
        <v>5536</v>
      </c>
      <c r="K155" s="3" t="s">
        <v>6092</v>
      </c>
      <c r="L155" s="8" t="str">
        <f>HYPERLINK("http://slimages.macys.com/is/image/MCY/10449580 ")</f>
        <v xml:space="preserve">http://slimages.macys.com/is/image/MCY/10449580 </v>
      </c>
    </row>
    <row r="156" spans="1:12" x14ac:dyDescent="0.25">
      <c r="A156" s="6" t="s">
        <v>1693</v>
      </c>
      <c r="B156" s="3" t="s">
        <v>2889</v>
      </c>
      <c r="C156" s="4">
        <v>1</v>
      </c>
      <c r="D156" s="5">
        <v>65</v>
      </c>
      <c r="E156" s="4">
        <v>100038548</v>
      </c>
      <c r="F156" s="3" t="s">
        <v>5783</v>
      </c>
      <c r="G156" s="7" t="s">
        <v>5533</v>
      </c>
      <c r="H156" s="3" t="s">
        <v>5585</v>
      </c>
      <c r="I156" s="3" t="s">
        <v>5734</v>
      </c>
      <c r="J156" s="3" t="s">
        <v>5536</v>
      </c>
      <c r="K156" s="3" t="s">
        <v>5594</v>
      </c>
      <c r="L156" s="8" t="str">
        <f>HYPERLINK("http://slimages.macys.com/is/image/MCY/11231731 ")</f>
        <v xml:space="preserve">http://slimages.macys.com/is/image/MCY/11231731 </v>
      </c>
    </row>
    <row r="157" spans="1:12" ht="24.75" x14ac:dyDescent="0.25">
      <c r="A157" s="6" t="s">
        <v>1694</v>
      </c>
      <c r="B157" s="3" t="s">
        <v>1537</v>
      </c>
      <c r="C157" s="4">
        <v>1</v>
      </c>
      <c r="D157" s="5">
        <v>45</v>
      </c>
      <c r="E157" s="4">
        <v>710671467014</v>
      </c>
      <c r="F157" s="3" t="s">
        <v>5532</v>
      </c>
      <c r="G157" s="7" t="s">
        <v>5533</v>
      </c>
      <c r="H157" s="3" t="s">
        <v>5534</v>
      </c>
      <c r="I157" s="3" t="s">
        <v>5535</v>
      </c>
      <c r="J157" s="3" t="s">
        <v>5536</v>
      </c>
      <c r="K157" s="3" t="s">
        <v>5594</v>
      </c>
      <c r="L157" s="8" t="str">
        <f>HYPERLINK("http://slimages.macys.com/is/image/MCY/8730231 ")</f>
        <v xml:space="preserve">http://slimages.macys.com/is/image/MCY/8730231 </v>
      </c>
    </row>
    <row r="158" spans="1:12" ht="24.75" x14ac:dyDescent="0.25">
      <c r="A158" s="6" t="s">
        <v>1695</v>
      </c>
      <c r="B158" s="3" t="s">
        <v>1537</v>
      </c>
      <c r="C158" s="4">
        <v>1</v>
      </c>
      <c r="D158" s="5">
        <v>45</v>
      </c>
      <c r="E158" s="4">
        <v>710671467014</v>
      </c>
      <c r="F158" s="3" t="s">
        <v>5532</v>
      </c>
      <c r="G158" s="7" t="s">
        <v>5598</v>
      </c>
      <c r="H158" s="3" t="s">
        <v>5534</v>
      </c>
      <c r="I158" s="3" t="s">
        <v>5535</v>
      </c>
      <c r="J158" s="3" t="s">
        <v>5536</v>
      </c>
      <c r="K158" s="3" t="s">
        <v>5594</v>
      </c>
      <c r="L158" s="8" t="str">
        <f>HYPERLINK("http://slimages.macys.com/is/image/MCY/8730231 ")</f>
        <v xml:space="preserve">http://slimages.macys.com/is/image/MCY/8730231 </v>
      </c>
    </row>
    <row r="159" spans="1:12" ht="24.75" x14ac:dyDescent="0.25">
      <c r="A159" s="6" t="s">
        <v>1696</v>
      </c>
      <c r="B159" s="3" t="s">
        <v>2904</v>
      </c>
      <c r="C159" s="4">
        <v>1</v>
      </c>
      <c r="D159" s="5">
        <v>49.5</v>
      </c>
      <c r="E159" s="4" t="s">
        <v>1697</v>
      </c>
      <c r="F159" s="3" t="s">
        <v>3299</v>
      </c>
      <c r="G159" s="7" t="s">
        <v>1698</v>
      </c>
      <c r="H159" s="3" t="s">
        <v>7088</v>
      </c>
      <c r="I159" s="3" t="s">
        <v>7089</v>
      </c>
      <c r="J159" s="3" t="s">
        <v>5536</v>
      </c>
      <c r="K159" s="3" t="s">
        <v>5594</v>
      </c>
      <c r="L159" s="8" t="str">
        <f>HYPERLINK("http://slimages.macys.com/is/image/MCY/14370139 ")</f>
        <v xml:space="preserve">http://slimages.macys.com/is/image/MCY/14370139 </v>
      </c>
    </row>
    <row r="160" spans="1:12" ht="24.75" x14ac:dyDescent="0.25">
      <c r="A160" s="6" t="s">
        <v>1699</v>
      </c>
      <c r="B160" s="3" t="s">
        <v>1700</v>
      </c>
      <c r="C160" s="4">
        <v>1</v>
      </c>
      <c r="D160" s="5">
        <v>54.99</v>
      </c>
      <c r="E160" s="4" t="s">
        <v>1701</v>
      </c>
      <c r="F160" s="3" t="s">
        <v>5532</v>
      </c>
      <c r="G160" s="7" t="s">
        <v>5533</v>
      </c>
      <c r="H160" s="3" t="s">
        <v>5877</v>
      </c>
      <c r="I160" s="3" t="s">
        <v>5878</v>
      </c>
      <c r="J160" s="3" t="s">
        <v>5536</v>
      </c>
      <c r="K160" s="3" t="s">
        <v>5879</v>
      </c>
      <c r="L160" s="8" t="str">
        <f>HYPERLINK("http://slimages.macys.com/is/image/MCY/14717263 ")</f>
        <v xml:space="preserve">http://slimages.macys.com/is/image/MCY/14717263 </v>
      </c>
    </row>
    <row r="161" spans="1:12" ht="36.75" x14ac:dyDescent="0.25">
      <c r="A161" s="6" t="s">
        <v>1702</v>
      </c>
      <c r="B161" s="3" t="s">
        <v>1703</v>
      </c>
      <c r="C161" s="4">
        <v>2</v>
      </c>
      <c r="D161" s="5">
        <v>97.98</v>
      </c>
      <c r="E161" s="4" t="s">
        <v>1704</v>
      </c>
      <c r="F161" s="3" t="s">
        <v>5556</v>
      </c>
      <c r="G161" s="7" t="s">
        <v>6848</v>
      </c>
      <c r="H161" s="3" t="s">
        <v>5892</v>
      </c>
      <c r="I161" s="3" t="s">
        <v>5893</v>
      </c>
      <c r="J161" s="3" t="s">
        <v>5536</v>
      </c>
      <c r="K161" s="3" t="s">
        <v>1705</v>
      </c>
      <c r="L161" s="8" t="str">
        <f>HYPERLINK("http://slimages.macys.com/is/image/MCY/15175336 ")</f>
        <v xml:space="preserve">http://slimages.macys.com/is/image/MCY/15175336 </v>
      </c>
    </row>
    <row r="162" spans="1:12" ht="24.75" x14ac:dyDescent="0.25">
      <c r="A162" s="6" t="s">
        <v>1706</v>
      </c>
      <c r="B162" s="3" t="s">
        <v>1707</v>
      </c>
      <c r="C162" s="4">
        <v>1</v>
      </c>
      <c r="D162" s="5">
        <v>39.99</v>
      </c>
      <c r="E162" s="4">
        <v>1290140</v>
      </c>
      <c r="F162" s="3" t="s">
        <v>6983</v>
      </c>
      <c r="G162" s="7" t="s">
        <v>5560</v>
      </c>
      <c r="H162" s="3" t="s">
        <v>5726</v>
      </c>
      <c r="I162" s="3" t="s">
        <v>5726</v>
      </c>
      <c r="J162" s="3" t="s">
        <v>5536</v>
      </c>
      <c r="K162" s="3" t="s">
        <v>3889</v>
      </c>
      <c r="L162" s="8" t="str">
        <f>HYPERLINK("http://slimages.macys.com/is/image/MCY/15273205 ")</f>
        <v xml:space="preserve">http://slimages.macys.com/is/image/MCY/15273205 </v>
      </c>
    </row>
    <row r="163" spans="1:12" ht="24.75" x14ac:dyDescent="0.25">
      <c r="A163" s="6" t="s">
        <v>1708</v>
      </c>
      <c r="B163" s="3" t="s">
        <v>1707</v>
      </c>
      <c r="C163" s="4">
        <v>1</v>
      </c>
      <c r="D163" s="5">
        <v>39.99</v>
      </c>
      <c r="E163" s="4">
        <v>1290140</v>
      </c>
      <c r="F163" s="3" t="s">
        <v>5532</v>
      </c>
      <c r="G163" s="7" t="s">
        <v>5560</v>
      </c>
      <c r="H163" s="3" t="s">
        <v>5726</v>
      </c>
      <c r="I163" s="3" t="s">
        <v>5726</v>
      </c>
      <c r="J163" s="3" t="s">
        <v>5536</v>
      </c>
      <c r="K163" s="3" t="s">
        <v>3889</v>
      </c>
      <c r="L163" s="8" t="str">
        <f>HYPERLINK("http://slimages.macys.com/is/image/MCY/15273205 ")</f>
        <v xml:space="preserve">http://slimages.macys.com/is/image/MCY/15273205 </v>
      </c>
    </row>
    <row r="164" spans="1:12" ht="24.75" x14ac:dyDescent="0.25">
      <c r="A164" s="6" t="s">
        <v>1709</v>
      </c>
      <c r="B164" s="3" t="s">
        <v>1710</v>
      </c>
      <c r="C164" s="4">
        <v>1</v>
      </c>
      <c r="D164" s="5">
        <v>34.99</v>
      </c>
      <c r="E164" s="4">
        <v>1239481</v>
      </c>
      <c r="F164" s="3" t="s">
        <v>5540</v>
      </c>
      <c r="G164" s="7" t="s">
        <v>5562</v>
      </c>
      <c r="H164" s="3" t="s">
        <v>5726</v>
      </c>
      <c r="I164" s="3" t="s">
        <v>5726</v>
      </c>
      <c r="J164" s="3" t="s">
        <v>5536</v>
      </c>
      <c r="K164" s="3" t="s">
        <v>5727</v>
      </c>
      <c r="L164" s="8" t="str">
        <f>HYPERLINK("http://slimages.macys.com/is/image/MCY/3042482 ")</f>
        <v xml:space="preserve">http://slimages.macys.com/is/image/MCY/3042482 </v>
      </c>
    </row>
    <row r="165" spans="1:12" x14ac:dyDescent="0.25">
      <c r="A165" s="6" t="s">
        <v>2925</v>
      </c>
      <c r="B165" s="3" t="s">
        <v>5912</v>
      </c>
      <c r="C165" s="4">
        <v>1</v>
      </c>
      <c r="D165" s="5">
        <v>39.99</v>
      </c>
      <c r="E165" s="4" t="s">
        <v>5913</v>
      </c>
      <c r="F165" s="3" t="s">
        <v>5820</v>
      </c>
      <c r="G165" s="7" t="s">
        <v>5533</v>
      </c>
      <c r="H165" s="3" t="s">
        <v>5606</v>
      </c>
      <c r="I165" s="3" t="s">
        <v>5914</v>
      </c>
      <c r="J165" s="3" t="s">
        <v>5536</v>
      </c>
      <c r="K165" s="3" t="s">
        <v>5594</v>
      </c>
      <c r="L165" s="8" t="str">
        <f>HYPERLINK("http://slimages.macys.com/is/image/MCY/15602396 ")</f>
        <v xml:space="preserve">http://slimages.macys.com/is/image/MCY/15602396 </v>
      </c>
    </row>
    <row r="166" spans="1:12" ht="24.75" x14ac:dyDescent="0.25">
      <c r="A166" s="6" t="s">
        <v>1711</v>
      </c>
      <c r="B166" s="3" t="s">
        <v>1712</v>
      </c>
      <c r="C166" s="4">
        <v>1</v>
      </c>
      <c r="D166" s="5">
        <v>49</v>
      </c>
      <c r="E166" s="4" t="s">
        <v>1713</v>
      </c>
      <c r="F166" s="3" t="s">
        <v>5783</v>
      </c>
      <c r="G166" s="7" t="s">
        <v>5562</v>
      </c>
      <c r="H166" s="3" t="s">
        <v>2792</v>
      </c>
      <c r="I166" s="3" t="s">
        <v>2793</v>
      </c>
      <c r="J166" s="3" t="s">
        <v>5536</v>
      </c>
      <c r="K166" s="3" t="s">
        <v>5549</v>
      </c>
      <c r="L166" s="8" t="str">
        <f>HYPERLINK("http://slimages.macys.com/is/image/MCY/14733594 ")</f>
        <v xml:space="preserve">http://slimages.macys.com/is/image/MCY/14733594 </v>
      </c>
    </row>
    <row r="167" spans="1:12" ht="24.75" x14ac:dyDescent="0.25">
      <c r="A167" s="6" t="s">
        <v>1714</v>
      </c>
      <c r="B167" s="3" t="s">
        <v>3900</v>
      </c>
      <c r="C167" s="4">
        <v>1</v>
      </c>
      <c r="D167" s="5">
        <v>39.99</v>
      </c>
      <c r="E167" s="4">
        <v>478740008</v>
      </c>
      <c r="F167" s="3" t="s">
        <v>5532</v>
      </c>
      <c r="G167" s="7" t="s">
        <v>5682</v>
      </c>
      <c r="H167" s="3" t="s">
        <v>5807</v>
      </c>
      <c r="I167" s="3" t="s">
        <v>5808</v>
      </c>
      <c r="J167" s="3" t="s">
        <v>5536</v>
      </c>
      <c r="K167" s="3" t="s">
        <v>5641</v>
      </c>
      <c r="L167" s="8" t="str">
        <f>HYPERLINK("http://slimages.macys.com/is/image/MCY/2910875 ")</f>
        <v xml:space="preserve">http://slimages.macys.com/is/image/MCY/2910875 </v>
      </c>
    </row>
    <row r="168" spans="1:12" ht="24.75" x14ac:dyDescent="0.25">
      <c r="A168" s="6" t="s">
        <v>1715</v>
      </c>
      <c r="B168" s="3" t="s">
        <v>3898</v>
      </c>
      <c r="C168" s="4">
        <v>1</v>
      </c>
      <c r="D168" s="5">
        <v>39.99</v>
      </c>
      <c r="E168" s="4">
        <v>478740001</v>
      </c>
      <c r="F168" s="3" t="s">
        <v>6075</v>
      </c>
      <c r="G168" s="7" t="s">
        <v>5682</v>
      </c>
      <c r="H168" s="3" t="s">
        <v>5807</v>
      </c>
      <c r="I168" s="3" t="s">
        <v>5808</v>
      </c>
      <c r="J168" s="3" t="s">
        <v>5536</v>
      </c>
      <c r="K168" s="3" t="s">
        <v>5641</v>
      </c>
      <c r="L168" s="8" t="str">
        <f>HYPERLINK("http://slimages.macys.com/is/image/MCY/2910875 ")</f>
        <v xml:space="preserve">http://slimages.macys.com/is/image/MCY/2910875 </v>
      </c>
    </row>
    <row r="169" spans="1:12" ht="24.75" x14ac:dyDescent="0.25">
      <c r="A169" s="6" t="s">
        <v>1716</v>
      </c>
      <c r="B169" s="3" t="s">
        <v>3898</v>
      </c>
      <c r="C169" s="4">
        <v>1</v>
      </c>
      <c r="D169" s="5">
        <v>39.99</v>
      </c>
      <c r="E169" s="4">
        <v>478740001</v>
      </c>
      <c r="F169" s="3" t="s">
        <v>6075</v>
      </c>
      <c r="G169" s="7"/>
      <c r="H169" s="3" t="s">
        <v>5807</v>
      </c>
      <c r="I169" s="3" t="s">
        <v>5808</v>
      </c>
      <c r="J169" s="3" t="s">
        <v>5536</v>
      </c>
      <c r="K169" s="3" t="s">
        <v>5641</v>
      </c>
      <c r="L169" s="8" t="str">
        <f>HYPERLINK("http://slimages.macys.com/is/image/MCY/2910875 ")</f>
        <v xml:space="preserve">http://slimages.macys.com/is/image/MCY/2910875 </v>
      </c>
    </row>
    <row r="170" spans="1:12" ht="24.75" x14ac:dyDescent="0.25">
      <c r="A170" s="6" t="s">
        <v>1717</v>
      </c>
      <c r="B170" s="3" t="s">
        <v>1718</v>
      </c>
      <c r="C170" s="4">
        <v>1</v>
      </c>
      <c r="D170" s="5">
        <v>44.99</v>
      </c>
      <c r="E170" s="4" t="s">
        <v>1719</v>
      </c>
      <c r="F170" s="3" t="s">
        <v>5532</v>
      </c>
      <c r="G170" s="7" t="s">
        <v>5692</v>
      </c>
      <c r="H170" s="3" t="s">
        <v>5862</v>
      </c>
      <c r="I170" s="3" t="s">
        <v>1692</v>
      </c>
      <c r="J170" s="3" t="s">
        <v>5536</v>
      </c>
      <c r="K170" s="3" t="s">
        <v>1720</v>
      </c>
      <c r="L170" s="8" t="str">
        <f>HYPERLINK("http://slimages.macys.com/is/image/MCY/11785879 ")</f>
        <v xml:space="preserve">http://slimages.macys.com/is/image/MCY/11785879 </v>
      </c>
    </row>
    <row r="171" spans="1:12" x14ac:dyDescent="0.25">
      <c r="A171" s="6" t="s">
        <v>5516</v>
      </c>
      <c r="B171" s="3" t="s">
        <v>5922</v>
      </c>
      <c r="C171" s="4">
        <v>1</v>
      </c>
      <c r="D171" s="5">
        <v>59.5</v>
      </c>
      <c r="E171" s="4">
        <v>100031340</v>
      </c>
      <c r="F171" s="3" t="s">
        <v>5540</v>
      </c>
      <c r="G171" s="7" t="s">
        <v>5596</v>
      </c>
      <c r="H171" s="3" t="s">
        <v>5585</v>
      </c>
      <c r="I171" s="3" t="s">
        <v>5586</v>
      </c>
      <c r="J171" s="3" t="s">
        <v>5536</v>
      </c>
      <c r="K171" s="3" t="s">
        <v>5574</v>
      </c>
      <c r="L171" s="8" t="str">
        <f>HYPERLINK("http://slimages.macys.com/is/image/MCY/10790042 ")</f>
        <v xml:space="preserve">http://slimages.macys.com/is/image/MCY/10790042 </v>
      </c>
    </row>
    <row r="172" spans="1:12" x14ac:dyDescent="0.25">
      <c r="A172" s="6" t="s">
        <v>1721</v>
      </c>
      <c r="B172" s="3" t="s">
        <v>5922</v>
      </c>
      <c r="C172" s="4">
        <v>1</v>
      </c>
      <c r="D172" s="5">
        <v>59.5</v>
      </c>
      <c r="E172" s="4">
        <v>100031340</v>
      </c>
      <c r="F172" s="3" t="s">
        <v>5540</v>
      </c>
      <c r="G172" s="7" t="s">
        <v>5560</v>
      </c>
      <c r="H172" s="3" t="s">
        <v>5585</v>
      </c>
      <c r="I172" s="3" t="s">
        <v>5586</v>
      </c>
      <c r="J172" s="3" t="s">
        <v>5536</v>
      </c>
      <c r="K172" s="3" t="s">
        <v>5574</v>
      </c>
      <c r="L172" s="8" t="str">
        <f>HYPERLINK("http://slimages.macys.com/is/image/MCY/10790042 ")</f>
        <v xml:space="preserve">http://slimages.macys.com/is/image/MCY/10790042 </v>
      </c>
    </row>
    <row r="173" spans="1:12" ht="24.75" x14ac:dyDescent="0.25">
      <c r="A173" s="6" t="s">
        <v>1722</v>
      </c>
      <c r="B173" s="3" t="s">
        <v>1723</v>
      </c>
      <c r="C173" s="4">
        <v>2</v>
      </c>
      <c r="D173" s="5">
        <v>89.98</v>
      </c>
      <c r="E173" s="4" t="s">
        <v>1724</v>
      </c>
      <c r="F173" s="3" t="s">
        <v>5783</v>
      </c>
      <c r="G173" s="7" t="s">
        <v>1561</v>
      </c>
      <c r="H173" s="3" t="s">
        <v>5862</v>
      </c>
      <c r="I173" s="3" t="s">
        <v>1692</v>
      </c>
      <c r="J173" s="3" t="s">
        <v>5536</v>
      </c>
      <c r="K173" s="3" t="s">
        <v>6092</v>
      </c>
      <c r="L173" s="8" t="str">
        <f>HYPERLINK("http://slimages.macys.com/is/image/MCY/3630203 ")</f>
        <v xml:space="preserve">http://slimages.macys.com/is/image/MCY/3630203 </v>
      </c>
    </row>
    <row r="174" spans="1:12" ht="24.75" x14ac:dyDescent="0.25">
      <c r="A174" s="6" t="s">
        <v>1725</v>
      </c>
      <c r="B174" s="3" t="s">
        <v>1726</v>
      </c>
      <c r="C174" s="4">
        <v>1</v>
      </c>
      <c r="D174" s="5">
        <v>38.99</v>
      </c>
      <c r="E174" s="4" t="s">
        <v>1724</v>
      </c>
      <c r="F174" s="3" t="s">
        <v>5556</v>
      </c>
      <c r="G174" s="7" t="s">
        <v>1561</v>
      </c>
      <c r="H174" s="3" t="s">
        <v>5862</v>
      </c>
      <c r="I174" s="3" t="s">
        <v>1692</v>
      </c>
      <c r="J174" s="3" t="s">
        <v>5536</v>
      </c>
      <c r="K174" s="3" t="s">
        <v>6092</v>
      </c>
      <c r="L174" s="8" t="str">
        <f>HYPERLINK("http://slimages.macys.com/is/image/MCY/3630203 ")</f>
        <v xml:space="preserve">http://slimages.macys.com/is/image/MCY/3630203 </v>
      </c>
    </row>
    <row r="175" spans="1:12" x14ac:dyDescent="0.25">
      <c r="A175" s="6" t="s">
        <v>2933</v>
      </c>
      <c r="B175" s="3" t="s">
        <v>2931</v>
      </c>
      <c r="C175" s="4">
        <v>1</v>
      </c>
      <c r="D175" s="5">
        <v>39.99</v>
      </c>
      <c r="E175" s="4" t="s">
        <v>2932</v>
      </c>
      <c r="F175" s="3" t="s">
        <v>5566</v>
      </c>
      <c r="G175" s="7" t="s">
        <v>5596</v>
      </c>
      <c r="H175" s="3" t="s">
        <v>5606</v>
      </c>
      <c r="I175" s="3" t="s">
        <v>5914</v>
      </c>
      <c r="J175" s="3" t="s">
        <v>5536</v>
      </c>
      <c r="K175" s="3" t="s">
        <v>5549</v>
      </c>
      <c r="L175" s="8" t="str">
        <f>HYPERLINK("http://slimages.macys.com/is/image/MCY/15436303 ")</f>
        <v xml:space="preserve">http://slimages.macys.com/is/image/MCY/15436303 </v>
      </c>
    </row>
    <row r="176" spans="1:12" ht="24.75" x14ac:dyDescent="0.25">
      <c r="A176" s="6" t="s">
        <v>1727</v>
      </c>
      <c r="B176" s="3" t="s">
        <v>1728</v>
      </c>
      <c r="C176" s="4">
        <v>1</v>
      </c>
      <c r="D176" s="5">
        <v>49.5</v>
      </c>
      <c r="E176" s="4" t="s">
        <v>1729</v>
      </c>
      <c r="F176" s="3" t="s">
        <v>5783</v>
      </c>
      <c r="G176" s="7" t="s">
        <v>5562</v>
      </c>
      <c r="H176" s="3" t="s">
        <v>1473</v>
      </c>
      <c r="I176" s="3" t="s">
        <v>1474</v>
      </c>
      <c r="J176" s="3" t="s">
        <v>5536</v>
      </c>
      <c r="K176" s="3" t="s">
        <v>5549</v>
      </c>
      <c r="L176" s="8" t="str">
        <f>HYPERLINK("http://slimages.macys.com/is/image/MCY/14572191 ")</f>
        <v xml:space="preserve">http://slimages.macys.com/is/image/MCY/14572191 </v>
      </c>
    </row>
    <row r="177" spans="1:12" ht="24.75" x14ac:dyDescent="0.25">
      <c r="A177" s="6" t="s">
        <v>1730</v>
      </c>
      <c r="B177" s="3" t="s">
        <v>1731</v>
      </c>
      <c r="C177" s="4">
        <v>1</v>
      </c>
      <c r="D177" s="5">
        <v>34.99</v>
      </c>
      <c r="E177" s="4">
        <v>1620191</v>
      </c>
      <c r="F177" s="3" t="s">
        <v>5793</v>
      </c>
      <c r="G177" s="7" t="s">
        <v>5598</v>
      </c>
      <c r="H177" s="3" t="s">
        <v>5929</v>
      </c>
      <c r="I177" s="3" t="s">
        <v>5930</v>
      </c>
      <c r="J177" s="3" t="s">
        <v>5536</v>
      </c>
      <c r="K177" s="3" t="s">
        <v>5727</v>
      </c>
      <c r="L177" s="8" t="str">
        <f>HYPERLINK("http://slimages.macys.com/is/image/MCY/15215507 ")</f>
        <v xml:space="preserve">http://slimages.macys.com/is/image/MCY/15215507 </v>
      </c>
    </row>
    <row r="178" spans="1:12" ht="24.75" x14ac:dyDescent="0.25">
      <c r="A178" s="6" t="s">
        <v>1732</v>
      </c>
      <c r="B178" s="3" t="s">
        <v>1733</v>
      </c>
      <c r="C178" s="4">
        <v>1</v>
      </c>
      <c r="D178" s="5">
        <v>35</v>
      </c>
      <c r="E178" s="4">
        <v>1707741</v>
      </c>
      <c r="F178" s="3" t="s">
        <v>6983</v>
      </c>
      <c r="G178" s="7" t="s">
        <v>5562</v>
      </c>
      <c r="H178" s="3" t="s">
        <v>5929</v>
      </c>
      <c r="I178" s="3" t="s">
        <v>5930</v>
      </c>
      <c r="J178" s="3" t="s">
        <v>5536</v>
      </c>
      <c r="K178" s="3" t="s">
        <v>5727</v>
      </c>
      <c r="L178" s="8" t="str">
        <f>HYPERLINK("http://slimages.macys.com/is/image/MCY/11487111 ")</f>
        <v xml:space="preserve">http://slimages.macys.com/is/image/MCY/11487111 </v>
      </c>
    </row>
    <row r="179" spans="1:12" x14ac:dyDescent="0.25">
      <c r="A179" s="6" t="s">
        <v>3656</v>
      </c>
      <c r="B179" s="3" t="s">
        <v>3657</v>
      </c>
      <c r="C179" s="4">
        <v>1</v>
      </c>
      <c r="D179" s="5">
        <v>34.99</v>
      </c>
      <c r="E179" s="4" t="s">
        <v>3658</v>
      </c>
      <c r="F179" s="3" t="s">
        <v>5604</v>
      </c>
      <c r="G179" s="7" t="s">
        <v>5533</v>
      </c>
      <c r="H179" s="3" t="s">
        <v>5606</v>
      </c>
      <c r="I179" s="3" t="s">
        <v>5914</v>
      </c>
      <c r="J179" s="3" t="s">
        <v>5536</v>
      </c>
      <c r="K179" s="3" t="s">
        <v>5594</v>
      </c>
      <c r="L179" s="8" t="str">
        <f>HYPERLINK("http://slimages.macys.com/is/image/MCY/15626213 ")</f>
        <v xml:space="preserve">http://slimages.macys.com/is/image/MCY/15626213 </v>
      </c>
    </row>
    <row r="180" spans="1:12" x14ac:dyDescent="0.25">
      <c r="A180" s="6" t="s">
        <v>1734</v>
      </c>
      <c r="B180" s="3" t="s">
        <v>847</v>
      </c>
      <c r="C180" s="4">
        <v>1</v>
      </c>
      <c r="D180" s="5">
        <v>75</v>
      </c>
      <c r="E180" s="4">
        <v>100081899</v>
      </c>
      <c r="F180" s="3" t="s">
        <v>5783</v>
      </c>
      <c r="G180" s="7" t="s">
        <v>5560</v>
      </c>
      <c r="H180" s="3" t="s">
        <v>5585</v>
      </c>
      <c r="I180" s="3" t="s">
        <v>5734</v>
      </c>
      <c r="J180" s="3" t="s">
        <v>5536</v>
      </c>
      <c r="K180" s="3" t="s">
        <v>5574</v>
      </c>
      <c r="L180" s="8" t="str">
        <f>HYPERLINK("http://slimages.macys.com/is/image/MCY/15861710 ")</f>
        <v xml:space="preserve">http://slimages.macys.com/is/image/MCY/15861710 </v>
      </c>
    </row>
    <row r="181" spans="1:12" ht="24.75" x14ac:dyDescent="0.25">
      <c r="A181" s="6" t="s">
        <v>1735</v>
      </c>
      <c r="B181" s="3" t="s">
        <v>1736</v>
      </c>
      <c r="C181" s="4">
        <v>1</v>
      </c>
      <c r="D181" s="5">
        <v>45</v>
      </c>
      <c r="E181" s="4" t="s">
        <v>1737</v>
      </c>
      <c r="F181" s="3" t="s">
        <v>5540</v>
      </c>
      <c r="G181" s="7" t="s">
        <v>5672</v>
      </c>
      <c r="H181" s="3" t="s">
        <v>5862</v>
      </c>
      <c r="I181" s="3" t="s">
        <v>7060</v>
      </c>
      <c r="J181" s="3" t="s">
        <v>5536</v>
      </c>
      <c r="K181" s="3" t="s">
        <v>5864</v>
      </c>
      <c r="L181" s="8" t="str">
        <f>HYPERLINK("http://slimages.macys.com/is/image/MCY/1844948 ")</f>
        <v xml:space="preserve">http://slimages.macys.com/is/image/MCY/1844948 </v>
      </c>
    </row>
    <row r="182" spans="1:12" ht="24.75" x14ac:dyDescent="0.25">
      <c r="A182" s="6" t="s">
        <v>1738</v>
      </c>
      <c r="B182" s="3" t="s">
        <v>1736</v>
      </c>
      <c r="C182" s="4">
        <v>1</v>
      </c>
      <c r="D182" s="5">
        <v>45</v>
      </c>
      <c r="E182" s="4" t="s">
        <v>1737</v>
      </c>
      <c r="F182" s="3" t="s">
        <v>5540</v>
      </c>
      <c r="G182" s="7" t="s">
        <v>5629</v>
      </c>
      <c r="H182" s="3" t="s">
        <v>5862</v>
      </c>
      <c r="I182" s="3" t="s">
        <v>7060</v>
      </c>
      <c r="J182" s="3" t="s">
        <v>5536</v>
      </c>
      <c r="K182" s="3" t="s">
        <v>5864</v>
      </c>
      <c r="L182" s="8" t="str">
        <f>HYPERLINK("http://slimages.macys.com/is/image/MCY/1844948 ")</f>
        <v xml:space="preserve">http://slimages.macys.com/is/image/MCY/1844948 </v>
      </c>
    </row>
    <row r="183" spans="1:12" ht="36.75" x14ac:dyDescent="0.25">
      <c r="A183" s="6" t="s">
        <v>1739</v>
      </c>
      <c r="B183" s="3" t="s">
        <v>1740</v>
      </c>
      <c r="C183" s="4">
        <v>1</v>
      </c>
      <c r="D183" s="5">
        <v>44</v>
      </c>
      <c r="E183" s="4" t="s">
        <v>1741</v>
      </c>
      <c r="F183" s="3" t="s">
        <v>5532</v>
      </c>
      <c r="G183" s="7" t="s">
        <v>5631</v>
      </c>
      <c r="H183" s="3" t="s">
        <v>5862</v>
      </c>
      <c r="I183" s="3" t="s">
        <v>5934</v>
      </c>
      <c r="J183" s="3" t="s">
        <v>5536</v>
      </c>
      <c r="K183" s="3" t="s">
        <v>1742</v>
      </c>
      <c r="L183" s="8" t="str">
        <f>HYPERLINK("http://slimages.macys.com/is/image/MCY/9885133 ")</f>
        <v xml:space="preserve">http://slimages.macys.com/is/image/MCY/9885133 </v>
      </c>
    </row>
    <row r="184" spans="1:12" ht="36.75" x14ac:dyDescent="0.25">
      <c r="A184" s="6" t="s">
        <v>1743</v>
      </c>
      <c r="B184" s="3" t="s">
        <v>1740</v>
      </c>
      <c r="C184" s="4">
        <v>1</v>
      </c>
      <c r="D184" s="5">
        <v>44</v>
      </c>
      <c r="E184" s="4" t="s">
        <v>1744</v>
      </c>
      <c r="F184" s="3" t="s">
        <v>5540</v>
      </c>
      <c r="G184" s="7" t="s">
        <v>5631</v>
      </c>
      <c r="H184" s="3" t="s">
        <v>5862</v>
      </c>
      <c r="I184" s="3" t="s">
        <v>5934</v>
      </c>
      <c r="J184" s="3" t="s">
        <v>5536</v>
      </c>
      <c r="K184" s="3" t="s">
        <v>1742</v>
      </c>
      <c r="L184" s="8" t="str">
        <f>HYPERLINK("http://slimages.macys.com/is/image/MCY/9885133 ")</f>
        <v xml:space="preserve">http://slimages.macys.com/is/image/MCY/9885133 </v>
      </c>
    </row>
    <row r="185" spans="1:12" ht="36.75" x14ac:dyDescent="0.25">
      <c r="A185" s="6" t="s">
        <v>1745</v>
      </c>
      <c r="B185" s="3" t="s">
        <v>1746</v>
      </c>
      <c r="C185" s="4">
        <v>1</v>
      </c>
      <c r="D185" s="5">
        <v>36.99</v>
      </c>
      <c r="E185" s="4" t="s">
        <v>1747</v>
      </c>
      <c r="F185" s="3" t="s">
        <v>5793</v>
      </c>
      <c r="G185" s="7"/>
      <c r="H185" s="3" t="s">
        <v>5862</v>
      </c>
      <c r="I185" s="3" t="s">
        <v>1692</v>
      </c>
      <c r="J185" s="3" t="s">
        <v>5536</v>
      </c>
      <c r="K185" s="3" t="s">
        <v>1748</v>
      </c>
      <c r="L185" s="8" t="str">
        <f>HYPERLINK("http://slimages.macys.com/is/image/MCY/10453969 ")</f>
        <v xml:space="preserve">http://slimages.macys.com/is/image/MCY/10453969 </v>
      </c>
    </row>
    <row r="186" spans="1:12" x14ac:dyDescent="0.25">
      <c r="A186" s="6" t="s">
        <v>3870</v>
      </c>
      <c r="B186" s="3" t="s">
        <v>5948</v>
      </c>
      <c r="C186" s="4">
        <v>1</v>
      </c>
      <c r="D186" s="5">
        <v>34.99</v>
      </c>
      <c r="E186" s="4" t="s">
        <v>5949</v>
      </c>
      <c r="F186" s="3" t="s">
        <v>5820</v>
      </c>
      <c r="G186" s="7" t="s">
        <v>5533</v>
      </c>
      <c r="H186" s="3" t="s">
        <v>5606</v>
      </c>
      <c r="I186" s="3" t="s">
        <v>5914</v>
      </c>
      <c r="J186" s="3" t="s">
        <v>5536</v>
      </c>
      <c r="K186" s="3" t="s">
        <v>5594</v>
      </c>
      <c r="L186" s="8" t="str">
        <f>HYPERLINK("http://slimages.macys.com/is/image/MCY/15602237 ")</f>
        <v xml:space="preserve">http://slimages.macys.com/is/image/MCY/15602237 </v>
      </c>
    </row>
    <row r="187" spans="1:12" ht="24.75" x14ac:dyDescent="0.25">
      <c r="A187" s="6" t="s">
        <v>1749</v>
      </c>
      <c r="B187" s="3" t="s">
        <v>2951</v>
      </c>
      <c r="C187" s="4">
        <v>1</v>
      </c>
      <c r="D187" s="5">
        <v>34.99</v>
      </c>
      <c r="E187" s="4" t="s">
        <v>2952</v>
      </c>
      <c r="F187" s="3" t="s">
        <v>5945</v>
      </c>
      <c r="G187" s="7" t="s">
        <v>5598</v>
      </c>
      <c r="H187" s="3" t="s">
        <v>5606</v>
      </c>
      <c r="I187" s="3" t="s">
        <v>5914</v>
      </c>
      <c r="J187" s="3" t="s">
        <v>5536</v>
      </c>
      <c r="K187" s="3" t="s">
        <v>5594</v>
      </c>
      <c r="L187" s="8" t="str">
        <f>HYPERLINK("http://slimages.macys.com/is/image/MCY/15602385 ")</f>
        <v xml:space="preserve">http://slimages.macys.com/is/image/MCY/15602385 </v>
      </c>
    </row>
    <row r="188" spans="1:12" x14ac:dyDescent="0.25">
      <c r="A188" s="6" t="s">
        <v>1750</v>
      </c>
      <c r="B188" s="3" t="s">
        <v>1751</v>
      </c>
      <c r="C188" s="4">
        <v>1</v>
      </c>
      <c r="D188" s="5">
        <v>34.99</v>
      </c>
      <c r="E188" s="4" t="s">
        <v>1752</v>
      </c>
      <c r="F188" s="3" t="s">
        <v>5820</v>
      </c>
      <c r="G188" s="7" t="s">
        <v>5562</v>
      </c>
      <c r="H188" s="3" t="s">
        <v>5606</v>
      </c>
      <c r="I188" s="3" t="s">
        <v>5914</v>
      </c>
      <c r="J188" s="3" t="s">
        <v>5536</v>
      </c>
      <c r="K188" s="3" t="s">
        <v>5549</v>
      </c>
      <c r="L188" s="8" t="str">
        <f>HYPERLINK("http://slimages.macys.com/is/image/MCY/15138321 ")</f>
        <v xml:space="preserve">http://slimages.macys.com/is/image/MCY/15138321 </v>
      </c>
    </row>
    <row r="189" spans="1:12" ht="24.75" x14ac:dyDescent="0.25">
      <c r="A189" s="6" t="s">
        <v>1753</v>
      </c>
      <c r="B189" s="3" t="s">
        <v>1754</v>
      </c>
      <c r="C189" s="4">
        <v>1</v>
      </c>
      <c r="D189" s="5">
        <v>45</v>
      </c>
      <c r="E189" s="4" t="s">
        <v>1755</v>
      </c>
      <c r="F189" s="3" t="s">
        <v>5604</v>
      </c>
      <c r="G189" s="7" t="s">
        <v>6626</v>
      </c>
      <c r="H189" s="3" t="s">
        <v>7211</v>
      </c>
      <c r="I189" s="3" t="s">
        <v>7212</v>
      </c>
      <c r="J189" s="3" t="s">
        <v>5536</v>
      </c>
      <c r="K189" s="3" t="s">
        <v>5558</v>
      </c>
      <c r="L189" s="8" t="str">
        <f>HYPERLINK("http://slimages.macys.com/is/image/MCY/8389438 ")</f>
        <v xml:space="preserve">http://slimages.macys.com/is/image/MCY/8389438 </v>
      </c>
    </row>
    <row r="190" spans="1:12" ht="24.75" x14ac:dyDescent="0.25">
      <c r="A190" s="6" t="s">
        <v>1756</v>
      </c>
      <c r="B190" s="3" t="s">
        <v>5951</v>
      </c>
      <c r="C190" s="4">
        <v>1</v>
      </c>
      <c r="D190" s="5">
        <v>34.99</v>
      </c>
      <c r="E190" s="4" t="s">
        <v>5952</v>
      </c>
      <c r="F190" s="3" t="s">
        <v>5616</v>
      </c>
      <c r="G190" s="7" t="s">
        <v>5560</v>
      </c>
      <c r="H190" s="3" t="s">
        <v>5606</v>
      </c>
      <c r="I190" s="3" t="s">
        <v>5914</v>
      </c>
      <c r="J190" s="3" t="s">
        <v>5536</v>
      </c>
      <c r="K190" s="3" t="s">
        <v>5594</v>
      </c>
      <c r="L190" s="8" t="str">
        <f>HYPERLINK("http://slimages.macys.com/is/image/MCY/15119060 ")</f>
        <v xml:space="preserve">http://slimages.macys.com/is/image/MCY/15119060 </v>
      </c>
    </row>
    <row r="191" spans="1:12" ht="24.75" x14ac:dyDescent="0.25">
      <c r="A191" s="6" t="s">
        <v>1757</v>
      </c>
      <c r="B191" s="3" t="s">
        <v>1754</v>
      </c>
      <c r="C191" s="4">
        <v>2</v>
      </c>
      <c r="D191" s="5">
        <v>90</v>
      </c>
      <c r="E191" s="4" t="s">
        <v>1755</v>
      </c>
      <c r="F191" s="3" t="s">
        <v>5616</v>
      </c>
      <c r="G191" s="7" t="s">
        <v>6500</v>
      </c>
      <c r="H191" s="3" t="s">
        <v>7211</v>
      </c>
      <c r="I191" s="3" t="s">
        <v>7212</v>
      </c>
      <c r="J191" s="3" t="s">
        <v>5536</v>
      </c>
      <c r="K191" s="3" t="s">
        <v>5558</v>
      </c>
      <c r="L191" s="8" t="str">
        <f>HYPERLINK("http://slimages.macys.com/is/image/MCY/8389438 ")</f>
        <v xml:space="preserve">http://slimages.macys.com/is/image/MCY/8389438 </v>
      </c>
    </row>
    <row r="192" spans="1:12" x14ac:dyDescent="0.25">
      <c r="A192" s="6" t="s">
        <v>4774</v>
      </c>
      <c r="B192" s="3" t="s">
        <v>5951</v>
      </c>
      <c r="C192" s="4">
        <v>1</v>
      </c>
      <c r="D192" s="5">
        <v>34.99</v>
      </c>
      <c r="E192" s="4" t="s">
        <v>5952</v>
      </c>
      <c r="F192" s="3" t="s">
        <v>5820</v>
      </c>
      <c r="G192" s="7" t="s">
        <v>5562</v>
      </c>
      <c r="H192" s="3" t="s">
        <v>5606</v>
      </c>
      <c r="I192" s="3" t="s">
        <v>5914</v>
      </c>
      <c r="J192" s="3" t="s">
        <v>5536</v>
      </c>
      <c r="K192" s="3" t="s">
        <v>5594</v>
      </c>
      <c r="L192" s="8" t="str">
        <f>HYPERLINK("http://slimages.macys.com/is/image/MCY/15119060 ")</f>
        <v xml:space="preserve">http://slimages.macys.com/is/image/MCY/15119060 </v>
      </c>
    </row>
    <row r="193" spans="1:12" x14ac:dyDescent="0.25">
      <c r="A193" s="6" t="s">
        <v>1758</v>
      </c>
      <c r="B193" s="3" t="s">
        <v>1759</v>
      </c>
      <c r="C193" s="4">
        <v>1</v>
      </c>
      <c r="D193" s="5">
        <v>34.99</v>
      </c>
      <c r="E193" s="4" t="s">
        <v>853</v>
      </c>
      <c r="F193" s="3" t="s">
        <v>5604</v>
      </c>
      <c r="G193" s="7" t="s">
        <v>5533</v>
      </c>
      <c r="H193" s="3" t="s">
        <v>5606</v>
      </c>
      <c r="I193" s="3" t="s">
        <v>5914</v>
      </c>
      <c r="J193" s="3" t="s">
        <v>5536</v>
      </c>
      <c r="K193" s="3" t="s">
        <v>5594</v>
      </c>
      <c r="L193" s="8" t="str">
        <f>HYPERLINK("http://slimages.macys.com/is/image/MCY/15436829 ")</f>
        <v xml:space="preserve">http://slimages.macys.com/is/image/MCY/15436829 </v>
      </c>
    </row>
    <row r="194" spans="1:12" ht="24.75" x14ac:dyDescent="0.25">
      <c r="A194" s="6" t="s">
        <v>5939</v>
      </c>
      <c r="B194" s="3" t="s">
        <v>5940</v>
      </c>
      <c r="C194" s="4">
        <v>1</v>
      </c>
      <c r="D194" s="5">
        <v>34.99</v>
      </c>
      <c r="E194" s="4" t="s">
        <v>5941</v>
      </c>
      <c r="F194" s="3" t="s">
        <v>5616</v>
      </c>
      <c r="G194" s="7" t="s">
        <v>5533</v>
      </c>
      <c r="H194" s="3" t="s">
        <v>5606</v>
      </c>
      <c r="I194" s="3" t="s">
        <v>5914</v>
      </c>
      <c r="J194" s="3" t="s">
        <v>5536</v>
      </c>
      <c r="K194" s="3" t="s">
        <v>5553</v>
      </c>
      <c r="L194" s="8" t="str">
        <f>HYPERLINK("http://slimages.macys.com/is/image/MCY/11640947 ")</f>
        <v xml:space="preserve">http://slimages.macys.com/is/image/MCY/11640947 </v>
      </c>
    </row>
    <row r="195" spans="1:12" x14ac:dyDescent="0.25">
      <c r="A195" s="6" t="s">
        <v>1760</v>
      </c>
      <c r="B195" s="3" t="s">
        <v>5951</v>
      </c>
      <c r="C195" s="4">
        <v>1</v>
      </c>
      <c r="D195" s="5">
        <v>34.99</v>
      </c>
      <c r="E195" s="4" t="s">
        <v>5952</v>
      </c>
      <c r="F195" s="3" t="s">
        <v>5820</v>
      </c>
      <c r="G195" s="7" t="s">
        <v>5533</v>
      </c>
      <c r="H195" s="3" t="s">
        <v>5606</v>
      </c>
      <c r="I195" s="3" t="s">
        <v>5914</v>
      </c>
      <c r="J195" s="3" t="s">
        <v>5536</v>
      </c>
      <c r="K195" s="3" t="s">
        <v>5594</v>
      </c>
      <c r="L195" s="8" t="str">
        <f>HYPERLINK("http://slimages.macys.com/is/image/MCY/15119060 ")</f>
        <v xml:space="preserve">http://slimages.macys.com/is/image/MCY/15119060 </v>
      </c>
    </row>
    <row r="196" spans="1:12" ht="24.75" x14ac:dyDescent="0.25">
      <c r="A196" s="6" t="s">
        <v>1761</v>
      </c>
      <c r="B196" s="3" t="s">
        <v>2951</v>
      </c>
      <c r="C196" s="4">
        <v>1</v>
      </c>
      <c r="D196" s="5">
        <v>34.99</v>
      </c>
      <c r="E196" s="4" t="s">
        <v>2952</v>
      </c>
      <c r="F196" s="3" t="s">
        <v>5945</v>
      </c>
      <c r="G196" s="7" t="s">
        <v>5533</v>
      </c>
      <c r="H196" s="3" t="s">
        <v>5606</v>
      </c>
      <c r="I196" s="3" t="s">
        <v>5914</v>
      </c>
      <c r="J196" s="3" t="s">
        <v>5536</v>
      </c>
      <c r="K196" s="3" t="s">
        <v>5594</v>
      </c>
      <c r="L196" s="8" t="str">
        <f>HYPERLINK("http://slimages.macys.com/is/image/MCY/15602385 ")</f>
        <v xml:space="preserve">http://slimages.macys.com/is/image/MCY/15602385 </v>
      </c>
    </row>
    <row r="197" spans="1:12" ht="24.75" x14ac:dyDescent="0.25">
      <c r="A197" s="6" t="s">
        <v>1762</v>
      </c>
      <c r="B197" s="3" t="s">
        <v>1754</v>
      </c>
      <c r="C197" s="4">
        <v>1</v>
      </c>
      <c r="D197" s="5">
        <v>45</v>
      </c>
      <c r="E197" s="4" t="s">
        <v>1755</v>
      </c>
      <c r="F197" s="3" t="s">
        <v>4547</v>
      </c>
      <c r="G197" s="7" t="s">
        <v>5799</v>
      </c>
      <c r="H197" s="3" t="s">
        <v>7211</v>
      </c>
      <c r="I197" s="3" t="s">
        <v>7212</v>
      </c>
      <c r="J197" s="3" t="s">
        <v>5536</v>
      </c>
      <c r="K197" s="3" t="s">
        <v>5558</v>
      </c>
      <c r="L197" s="8" t="str">
        <f>HYPERLINK("http://slimages.macys.com/is/image/MCY/8389438 ")</f>
        <v xml:space="preserve">http://slimages.macys.com/is/image/MCY/8389438 </v>
      </c>
    </row>
    <row r="198" spans="1:12" x14ac:dyDescent="0.25">
      <c r="A198" s="6" t="s">
        <v>1763</v>
      </c>
      <c r="B198" s="3" t="s">
        <v>5958</v>
      </c>
      <c r="C198" s="4">
        <v>1</v>
      </c>
      <c r="D198" s="5">
        <v>69.5</v>
      </c>
      <c r="E198" s="4">
        <v>100076029</v>
      </c>
      <c r="F198" s="3" t="s">
        <v>5610</v>
      </c>
      <c r="G198" s="7" t="s">
        <v>5682</v>
      </c>
      <c r="H198" s="3" t="s">
        <v>5585</v>
      </c>
      <c r="I198" s="3" t="s">
        <v>5586</v>
      </c>
      <c r="J198" s="3" t="s">
        <v>5536</v>
      </c>
      <c r="K198" s="3" t="s">
        <v>5587</v>
      </c>
      <c r="L198" s="8" t="str">
        <f>HYPERLINK("http://slimages.macys.com/is/image/MCY/15327356 ")</f>
        <v xml:space="preserve">http://slimages.macys.com/is/image/MCY/15327356 </v>
      </c>
    </row>
    <row r="199" spans="1:12" ht="24.75" x14ac:dyDescent="0.25">
      <c r="A199" s="6" t="s">
        <v>1764</v>
      </c>
      <c r="B199" s="3" t="s">
        <v>1765</v>
      </c>
      <c r="C199" s="4">
        <v>1</v>
      </c>
      <c r="D199" s="5">
        <v>56</v>
      </c>
      <c r="E199" s="4" t="s">
        <v>1766</v>
      </c>
      <c r="F199" s="3" t="s">
        <v>4216</v>
      </c>
      <c r="G199" s="7" t="s">
        <v>5760</v>
      </c>
      <c r="H199" s="3" t="s">
        <v>5722</v>
      </c>
      <c r="I199" s="3" t="s">
        <v>5756</v>
      </c>
      <c r="J199" s="3" t="s">
        <v>5536</v>
      </c>
      <c r="K199" s="3" t="s">
        <v>5594</v>
      </c>
      <c r="L199" s="8" t="str">
        <f>HYPERLINK("http://slimages.macys.com/is/image/MCY/3041389 ")</f>
        <v xml:space="preserve">http://slimages.macys.com/is/image/MCY/3041389 </v>
      </c>
    </row>
    <row r="200" spans="1:12" ht="24.75" x14ac:dyDescent="0.25">
      <c r="A200" s="6" t="s">
        <v>1767</v>
      </c>
      <c r="B200" s="3" t="s">
        <v>1768</v>
      </c>
      <c r="C200" s="4">
        <v>1</v>
      </c>
      <c r="D200" s="5">
        <v>39.5</v>
      </c>
      <c r="E200" s="4" t="s">
        <v>1769</v>
      </c>
      <c r="F200" s="3" t="s">
        <v>6300</v>
      </c>
      <c r="G200" s="7" t="s">
        <v>5562</v>
      </c>
      <c r="H200" s="3" t="s">
        <v>5715</v>
      </c>
      <c r="I200" s="3" t="s">
        <v>5716</v>
      </c>
      <c r="J200" s="3" t="s">
        <v>5536</v>
      </c>
      <c r="K200" s="3" t="s">
        <v>5549</v>
      </c>
      <c r="L200" s="8" t="str">
        <f>HYPERLINK("http://slimages.macys.com/is/image/MCY/14561557 ")</f>
        <v xml:space="preserve">http://slimages.macys.com/is/image/MCY/14561557 </v>
      </c>
    </row>
    <row r="201" spans="1:12" ht="24.75" x14ac:dyDescent="0.25">
      <c r="A201" s="6" t="s">
        <v>1770</v>
      </c>
      <c r="B201" s="3" t="s">
        <v>1771</v>
      </c>
      <c r="C201" s="4">
        <v>1</v>
      </c>
      <c r="D201" s="5">
        <v>39.5</v>
      </c>
      <c r="E201" s="4" t="s">
        <v>1772</v>
      </c>
      <c r="F201" s="3" t="s">
        <v>1773</v>
      </c>
      <c r="G201" s="7" t="s">
        <v>5582</v>
      </c>
      <c r="H201" s="3" t="s">
        <v>5715</v>
      </c>
      <c r="I201" s="3" t="s">
        <v>5716</v>
      </c>
      <c r="J201" s="3" t="s">
        <v>5536</v>
      </c>
      <c r="K201" s="3" t="s">
        <v>5549</v>
      </c>
      <c r="L201" s="8" t="str">
        <f>HYPERLINK("http://slimages.macys.com/is/image/MCY/15629145 ")</f>
        <v xml:space="preserve">http://slimages.macys.com/is/image/MCY/15629145 </v>
      </c>
    </row>
    <row r="202" spans="1:12" ht="24.75" x14ac:dyDescent="0.25">
      <c r="A202" s="6" t="s">
        <v>1774</v>
      </c>
      <c r="B202" s="3" t="s">
        <v>1775</v>
      </c>
      <c r="C202" s="4">
        <v>1</v>
      </c>
      <c r="D202" s="5">
        <v>29</v>
      </c>
      <c r="E202" s="4" t="s">
        <v>1776</v>
      </c>
      <c r="F202" s="3" t="s">
        <v>4724</v>
      </c>
      <c r="G202" s="7" t="s">
        <v>5596</v>
      </c>
      <c r="H202" s="3" t="s">
        <v>7157</v>
      </c>
      <c r="I202" s="3" t="s">
        <v>7158</v>
      </c>
      <c r="J202" s="3" t="s">
        <v>5536</v>
      </c>
      <c r="K202" s="3" t="s">
        <v>5594</v>
      </c>
      <c r="L202" s="8" t="str">
        <f>HYPERLINK("http://slimages.macys.com/is/image/MCY/13850439 ")</f>
        <v xml:space="preserve">http://slimages.macys.com/is/image/MCY/13850439 </v>
      </c>
    </row>
    <row r="203" spans="1:12" ht="24.75" x14ac:dyDescent="0.25">
      <c r="A203" s="6" t="s">
        <v>1777</v>
      </c>
      <c r="B203" s="3" t="s">
        <v>1778</v>
      </c>
      <c r="C203" s="4">
        <v>1</v>
      </c>
      <c r="D203" s="5">
        <v>35</v>
      </c>
      <c r="E203" s="4">
        <v>908796</v>
      </c>
      <c r="F203" s="3" t="s">
        <v>5803</v>
      </c>
      <c r="G203" s="7" t="s">
        <v>5562</v>
      </c>
      <c r="H203" s="3" t="s">
        <v>4379</v>
      </c>
      <c r="I203" s="3" t="s">
        <v>5296</v>
      </c>
      <c r="J203" s="3" t="s">
        <v>5536</v>
      </c>
      <c r="K203" s="3" t="s">
        <v>5727</v>
      </c>
      <c r="L203" s="8" t="str">
        <f>HYPERLINK("http://slimages.macys.com/is/image/MCY/9348205 ")</f>
        <v xml:space="preserve">http://slimages.macys.com/is/image/MCY/9348205 </v>
      </c>
    </row>
    <row r="204" spans="1:12" ht="24.75" x14ac:dyDescent="0.25">
      <c r="A204" s="6" t="s">
        <v>1779</v>
      </c>
      <c r="B204" s="3" t="s">
        <v>1780</v>
      </c>
      <c r="C204" s="4">
        <v>2</v>
      </c>
      <c r="D204" s="5">
        <v>70</v>
      </c>
      <c r="E204" s="4" t="s">
        <v>1781</v>
      </c>
      <c r="F204" s="3" t="s">
        <v>5578</v>
      </c>
      <c r="G204" s="7" t="s">
        <v>5596</v>
      </c>
      <c r="H204" s="3" t="s">
        <v>4379</v>
      </c>
      <c r="I204" s="3" t="s">
        <v>5296</v>
      </c>
      <c r="J204" s="3" t="s">
        <v>5536</v>
      </c>
      <c r="K204" s="3" t="s">
        <v>5727</v>
      </c>
      <c r="L204" s="8" t="str">
        <f>HYPERLINK("http://slimages.macys.com/is/image/MCY/11724323 ")</f>
        <v xml:space="preserve">http://slimages.macys.com/is/image/MCY/11724323 </v>
      </c>
    </row>
    <row r="205" spans="1:12" ht="24.75" x14ac:dyDescent="0.25">
      <c r="A205" s="6" t="s">
        <v>1782</v>
      </c>
      <c r="B205" s="3" t="s">
        <v>1783</v>
      </c>
      <c r="C205" s="4">
        <v>1</v>
      </c>
      <c r="D205" s="5">
        <v>59.99</v>
      </c>
      <c r="E205" s="4" t="s">
        <v>1784</v>
      </c>
      <c r="F205" s="3" t="s">
        <v>5783</v>
      </c>
      <c r="G205" s="7" t="s">
        <v>5596</v>
      </c>
      <c r="H205" s="3" t="s">
        <v>5978</v>
      </c>
      <c r="I205" s="3" t="s">
        <v>5979</v>
      </c>
      <c r="J205" s="3" t="s">
        <v>5536</v>
      </c>
      <c r="K205" s="3" t="s">
        <v>5980</v>
      </c>
      <c r="L205" s="8" t="str">
        <f>HYPERLINK("http://slimages.macys.com/is/image/MCY/15436636 ")</f>
        <v xml:space="preserve">http://slimages.macys.com/is/image/MCY/15436636 </v>
      </c>
    </row>
    <row r="206" spans="1:12" ht="24.75" x14ac:dyDescent="0.25">
      <c r="A206" s="6" t="s">
        <v>1785</v>
      </c>
      <c r="B206" s="3" t="s">
        <v>1783</v>
      </c>
      <c r="C206" s="4">
        <v>2</v>
      </c>
      <c r="D206" s="5">
        <v>119.98</v>
      </c>
      <c r="E206" s="4" t="s">
        <v>1784</v>
      </c>
      <c r="F206" s="3" t="s">
        <v>5783</v>
      </c>
      <c r="G206" s="7" t="s">
        <v>5562</v>
      </c>
      <c r="H206" s="3" t="s">
        <v>5978</v>
      </c>
      <c r="I206" s="3" t="s">
        <v>5979</v>
      </c>
      <c r="J206" s="3" t="s">
        <v>5536</v>
      </c>
      <c r="K206" s="3" t="s">
        <v>5980</v>
      </c>
      <c r="L206" s="8" t="str">
        <f>HYPERLINK("http://slimages.macys.com/is/image/MCY/15436636 ")</f>
        <v xml:space="preserve">http://slimages.macys.com/is/image/MCY/15436636 </v>
      </c>
    </row>
    <row r="207" spans="1:12" ht="24.75" x14ac:dyDescent="0.25">
      <c r="A207" s="6" t="s">
        <v>1786</v>
      </c>
      <c r="B207" s="3" t="s">
        <v>1783</v>
      </c>
      <c r="C207" s="4">
        <v>1</v>
      </c>
      <c r="D207" s="5">
        <v>59.99</v>
      </c>
      <c r="E207" s="4" t="s">
        <v>1784</v>
      </c>
      <c r="F207" s="3" t="s">
        <v>5783</v>
      </c>
      <c r="G207" s="7" t="s">
        <v>5560</v>
      </c>
      <c r="H207" s="3" t="s">
        <v>5978</v>
      </c>
      <c r="I207" s="3" t="s">
        <v>5979</v>
      </c>
      <c r="J207" s="3" t="s">
        <v>5536</v>
      </c>
      <c r="K207" s="3" t="s">
        <v>5980</v>
      </c>
      <c r="L207" s="8" t="str">
        <f>HYPERLINK("http://slimages.macys.com/is/image/MCY/15436636 ")</f>
        <v xml:space="preserve">http://slimages.macys.com/is/image/MCY/15436636 </v>
      </c>
    </row>
    <row r="208" spans="1:12" ht="24.75" x14ac:dyDescent="0.25">
      <c r="A208" s="6" t="s">
        <v>1787</v>
      </c>
      <c r="B208" s="3" t="s">
        <v>1788</v>
      </c>
      <c r="C208" s="4">
        <v>1</v>
      </c>
      <c r="D208" s="5">
        <v>39</v>
      </c>
      <c r="E208" s="4" t="s">
        <v>1789</v>
      </c>
      <c r="F208" s="3" t="s">
        <v>5793</v>
      </c>
      <c r="G208" s="7" t="s">
        <v>5596</v>
      </c>
      <c r="H208" s="3" t="s">
        <v>2263</v>
      </c>
      <c r="I208" s="3" t="s">
        <v>1790</v>
      </c>
      <c r="J208" s="3" t="s">
        <v>5536</v>
      </c>
      <c r="K208" s="3" t="s">
        <v>1791</v>
      </c>
      <c r="L208" s="8" t="str">
        <f>HYPERLINK("http://slimages.macys.com/is/image/MCY/13327582 ")</f>
        <v xml:space="preserve">http://slimages.macys.com/is/image/MCY/13327582 </v>
      </c>
    </row>
    <row r="209" spans="1:12" ht="24.75" x14ac:dyDescent="0.25">
      <c r="A209" s="6" t="s">
        <v>1792</v>
      </c>
      <c r="B209" s="3" t="s">
        <v>1793</v>
      </c>
      <c r="C209" s="4">
        <v>1</v>
      </c>
      <c r="D209" s="5">
        <v>44.99</v>
      </c>
      <c r="E209" s="4" t="s">
        <v>1794</v>
      </c>
      <c r="F209" s="3" t="s">
        <v>5803</v>
      </c>
      <c r="G209" s="7" t="s">
        <v>3487</v>
      </c>
      <c r="H209" s="3" t="s">
        <v>5862</v>
      </c>
      <c r="I209" s="3" t="s">
        <v>1692</v>
      </c>
      <c r="J209" s="3" t="s">
        <v>5536</v>
      </c>
      <c r="K209" s="3" t="s">
        <v>5727</v>
      </c>
      <c r="L209" s="8" t="str">
        <f>HYPERLINK("http://slimages.macys.com/is/image/MCY/8353081 ")</f>
        <v xml:space="preserve">http://slimages.macys.com/is/image/MCY/8353081 </v>
      </c>
    </row>
    <row r="210" spans="1:12" ht="24.75" x14ac:dyDescent="0.25">
      <c r="A210" s="6" t="s">
        <v>1795</v>
      </c>
      <c r="B210" s="3" t="s">
        <v>1793</v>
      </c>
      <c r="C210" s="4">
        <v>1</v>
      </c>
      <c r="D210" s="5">
        <v>44.99</v>
      </c>
      <c r="E210" s="4" t="s">
        <v>1794</v>
      </c>
      <c r="F210" s="3" t="s">
        <v>5803</v>
      </c>
      <c r="G210" s="7" t="s">
        <v>5707</v>
      </c>
      <c r="H210" s="3" t="s">
        <v>5862</v>
      </c>
      <c r="I210" s="3" t="s">
        <v>1692</v>
      </c>
      <c r="J210" s="3" t="s">
        <v>5536</v>
      </c>
      <c r="K210" s="3" t="s">
        <v>5727</v>
      </c>
      <c r="L210" s="8" t="str">
        <f>HYPERLINK("http://slimages.macys.com/is/image/MCY/8353081 ")</f>
        <v xml:space="preserve">http://slimages.macys.com/is/image/MCY/8353081 </v>
      </c>
    </row>
    <row r="211" spans="1:12" ht="24.75" x14ac:dyDescent="0.25">
      <c r="A211" s="6" t="s">
        <v>1796</v>
      </c>
      <c r="B211" s="3" t="s">
        <v>1797</v>
      </c>
      <c r="C211" s="4">
        <v>1</v>
      </c>
      <c r="D211" s="5">
        <v>39.5</v>
      </c>
      <c r="E211" s="4" t="s">
        <v>1798</v>
      </c>
      <c r="F211" s="3"/>
      <c r="G211" s="7" t="s">
        <v>5598</v>
      </c>
      <c r="H211" s="3" t="s">
        <v>5794</v>
      </c>
      <c r="I211" s="3" t="s">
        <v>3957</v>
      </c>
      <c r="J211" s="3" t="s">
        <v>5536</v>
      </c>
      <c r="K211" s="3" t="s">
        <v>5594</v>
      </c>
      <c r="L211" s="8" t="str">
        <f>HYPERLINK("http://slimages.macys.com/is/image/MCY/9854043 ")</f>
        <v xml:space="preserve">http://slimages.macys.com/is/image/MCY/9854043 </v>
      </c>
    </row>
    <row r="212" spans="1:12" ht="24.75" x14ac:dyDescent="0.25">
      <c r="A212" s="6" t="s">
        <v>1799</v>
      </c>
      <c r="B212" s="3" t="s">
        <v>1797</v>
      </c>
      <c r="C212" s="4">
        <v>1</v>
      </c>
      <c r="D212" s="5">
        <v>39.5</v>
      </c>
      <c r="E212" s="4" t="s">
        <v>1800</v>
      </c>
      <c r="F212" s="3" t="s">
        <v>5578</v>
      </c>
      <c r="G212" s="7" t="s">
        <v>5533</v>
      </c>
      <c r="H212" s="3" t="s">
        <v>5794</v>
      </c>
      <c r="I212" s="3" t="s">
        <v>3957</v>
      </c>
      <c r="J212" s="3" t="s">
        <v>5536</v>
      </c>
      <c r="K212" s="3" t="s">
        <v>5594</v>
      </c>
      <c r="L212" s="8" t="str">
        <f>HYPERLINK("http://slimages.macys.com/is/image/MCY/9854043 ")</f>
        <v xml:space="preserve">http://slimages.macys.com/is/image/MCY/9854043 </v>
      </c>
    </row>
    <row r="213" spans="1:12" x14ac:dyDescent="0.25">
      <c r="A213" s="6" t="s">
        <v>5959</v>
      </c>
      <c r="B213" s="3" t="s">
        <v>5960</v>
      </c>
      <c r="C213" s="4">
        <v>1</v>
      </c>
      <c r="D213" s="5">
        <v>34.99</v>
      </c>
      <c r="E213" s="4" t="s">
        <v>5961</v>
      </c>
      <c r="F213" s="3" t="s">
        <v>5783</v>
      </c>
      <c r="G213" s="7" t="s">
        <v>5533</v>
      </c>
      <c r="H213" s="3" t="s">
        <v>5606</v>
      </c>
      <c r="I213" s="3" t="s">
        <v>5914</v>
      </c>
      <c r="J213" s="3" t="s">
        <v>5536</v>
      </c>
      <c r="K213" s="3" t="s">
        <v>5574</v>
      </c>
      <c r="L213" s="8" t="str">
        <f>HYPERLINK("http://slimages.macys.com/is/image/MCY/15138334 ")</f>
        <v xml:space="preserve">http://slimages.macys.com/is/image/MCY/15138334 </v>
      </c>
    </row>
    <row r="214" spans="1:12" x14ac:dyDescent="0.25">
      <c r="A214" s="6" t="s">
        <v>1801</v>
      </c>
      <c r="B214" s="3" t="s">
        <v>1802</v>
      </c>
      <c r="C214" s="4">
        <v>1</v>
      </c>
      <c r="D214" s="5">
        <v>35</v>
      </c>
      <c r="E214" s="4" t="s">
        <v>1803</v>
      </c>
      <c r="F214" s="3" t="s">
        <v>5604</v>
      </c>
      <c r="G214" s="7" t="s">
        <v>5562</v>
      </c>
      <c r="H214" s="3" t="s">
        <v>7171</v>
      </c>
      <c r="I214" s="3" t="s">
        <v>7172</v>
      </c>
      <c r="J214" s="3" t="s">
        <v>5536</v>
      </c>
      <c r="K214" s="3" t="s">
        <v>5594</v>
      </c>
      <c r="L214" s="8" t="str">
        <f>HYPERLINK("http://slimages.macys.com/is/image/MCY/11711031 ")</f>
        <v xml:space="preserve">http://slimages.macys.com/is/image/MCY/11711031 </v>
      </c>
    </row>
    <row r="215" spans="1:12" x14ac:dyDescent="0.25">
      <c r="A215" s="6" t="s">
        <v>1804</v>
      </c>
      <c r="B215" s="3" t="s">
        <v>1805</v>
      </c>
      <c r="C215" s="4">
        <v>1</v>
      </c>
      <c r="D215" s="5">
        <v>34.99</v>
      </c>
      <c r="E215" s="4" t="s">
        <v>1806</v>
      </c>
      <c r="F215" s="3" t="s">
        <v>5820</v>
      </c>
      <c r="G215" s="7" t="s">
        <v>5533</v>
      </c>
      <c r="H215" s="3" t="s">
        <v>5606</v>
      </c>
      <c r="I215" s="3" t="s">
        <v>5914</v>
      </c>
      <c r="J215" s="3" t="s">
        <v>5536</v>
      </c>
      <c r="K215" s="3" t="s">
        <v>5574</v>
      </c>
      <c r="L215" s="8" t="str">
        <f>HYPERLINK("http://slimages.macys.com/is/image/MCY/14434491 ")</f>
        <v xml:space="preserve">http://slimages.macys.com/is/image/MCY/14434491 </v>
      </c>
    </row>
    <row r="216" spans="1:12" ht="24.75" x14ac:dyDescent="0.25">
      <c r="A216" s="6" t="s">
        <v>1807</v>
      </c>
      <c r="B216" s="3" t="s">
        <v>1805</v>
      </c>
      <c r="C216" s="4">
        <v>1</v>
      </c>
      <c r="D216" s="5">
        <v>34.99</v>
      </c>
      <c r="E216" s="4" t="s">
        <v>1806</v>
      </c>
      <c r="F216" s="3" t="s">
        <v>5714</v>
      </c>
      <c r="G216" s="7" t="s">
        <v>5560</v>
      </c>
      <c r="H216" s="3" t="s">
        <v>5606</v>
      </c>
      <c r="I216" s="3" t="s">
        <v>5914</v>
      </c>
      <c r="J216" s="3" t="s">
        <v>5536</v>
      </c>
      <c r="K216" s="3" t="s">
        <v>5574</v>
      </c>
      <c r="L216" s="8" t="str">
        <f>HYPERLINK("http://slimages.macys.com/is/image/MCY/14434491 ")</f>
        <v xml:space="preserve">http://slimages.macys.com/is/image/MCY/14434491 </v>
      </c>
    </row>
    <row r="217" spans="1:12" ht="24.75" x14ac:dyDescent="0.25">
      <c r="A217" s="6" t="s">
        <v>1808</v>
      </c>
      <c r="B217" s="3" t="s">
        <v>5967</v>
      </c>
      <c r="C217" s="4">
        <v>1</v>
      </c>
      <c r="D217" s="5">
        <v>34.99</v>
      </c>
      <c r="E217" s="4" t="s">
        <v>5968</v>
      </c>
      <c r="F217" s="3" t="s">
        <v>5945</v>
      </c>
      <c r="G217" s="7" t="s">
        <v>5560</v>
      </c>
      <c r="H217" s="3" t="s">
        <v>5606</v>
      </c>
      <c r="I217" s="3" t="s">
        <v>5914</v>
      </c>
      <c r="J217" s="3" t="s">
        <v>5536</v>
      </c>
      <c r="K217" s="3" t="s">
        <v>5574</v>
      </c>
      <c r="L217" s="8" t="str">
        <f>HYPERLINK("http://slimages.macys.com/is/image/MCY/14350785 ")</f>
        <v xml:space="preserve">http://slimages.macys.com/is/image/MCY/14350785 </v>
      </c>
    </row>
    <row r="218" spans="1:12" ht="24.75" x14ac:dyDescent="0.25">
      <c r="A218" s="6" t="s">
        <v>1809</v>
      </c>
      <c r="B218" s="3" t="s">
        <v>1810</v>
      </c>
      <c r="C218" s="4">
        <v>1</v>
      </c>
      <c r="D218" s="5">
        <v>29.98</v>
      </c>
      <c r="E218" s="4" t="s">
        <v>1811</v>
      </c>
      <c r="F218" s="3" t="s">
        <v>5925</v>
      </c>
      <c r="G218" s="7" t="s">
        <v>6626</v>
      </c>
      <c r="H218" s="3" t="s">
        <v>6019</v>
      </c>
      <c r="I218" s="3" t="s">
        <v>4836</v>
      </c>
      <c r="J218" s="3" t="s">
        <v>5536</v>
      </c>
      <c r="K218" s="3" t="s">
        <v>5594</v>
      </c>
      <c r="L218" s="8" t="str">
        <f t="shared" ref="L218:L226" si="1">HYPERLINK("http://slimages.macys.com/is/image/MCY/2592890 ")</f>
        <v xml:space="preserve">http://slimages.macys.com/is/image/MCY/2592890 </v>
      </c>
    </row>
    <row r="219" spans="1:12" ht="24.75" x14ac:dyDescent="0.25">
      <c r="A219" s="6" t="s">
        <v>1812</v>
      </c>
      <c r="B219" s="3" t="s">
        <v>1810</v>
      </c>
      <c r="C219" s="4">
        <v>1</v>
      </c>
      <c r="D219" s="5">
        <v>29.98</v>
      </c>
      <c r="E219" s="4" t="s">
        <v>1811</v>
      </c>
      <c r="F219" s="3" t="s">
        <v>5925</v>
      </c>
      <c r="G219" s="7" t="s">
        <v>6147</v>
      </c>
      <c r="H219" s="3" t="s">
        <v>6019</v>
      </c>
      <c r="I219" s="3" t="s">
        <v>4836</v>
      </c>
      <c r="J219" s="3" t="s">
        <v>5536</v>
      </c>
      <c r="K219" s="3" t="s">
        <v>5594</v>
      </c>
      <c r="L219" s="8" t="str">
        <f t="shared" si="1"/>
        <v xml:space="preserve">http://slimages.macys.com/is/image/MCY/2592890 </v>
      </c>
    </row>
    <row r="220" spans="1:12" ht="24.75" x14ac:dyDescent="0.25">
      <c r="A220" s="6" t="s">
        <v>1813</v>
      </c>
      <c r="B220" s="3" t="s">
        <v>1810</v>
      </c>
      <c r="C220" s="4">
        <v>1</v>
      </c>
      <c r="D220" s="5">
        <v>29.98</v>
      </c>
      <c r="E220" s="4" t="s">
        <v>1811</v>
      </c>
      <c r="F220" s="3" t="s">
        <v>5925</v>
      </c>
      <c r="G220" s="7" t="s">
        <v>5838</v>
      </c>
      <c r="H220" s="3" t="s">
        <v>6019</v>
      </c>
      <c r="I220" s="3" t="s">
        <v>4836</v>
      </c>
      <c r="J220" s="3" t="s">
        <v>5536</v>
      </c>
      <c r="K220" s="3" t="s">
        <v>5594</v>
      </c>
      <c r="L220" s="8" t="str">
        <f t="shared" si="1"/>
        <v xml:space="preserve">http://slimages.macys.com/is/image/MCY/2592890 </v>
      </c>
    </row>
    <row r="221" spans="1:12" ht="24.75" x14ac:dyDescent="0.25">
      <c r="A221" s="6" t="s">
        <v>1814</v>
      </c>
      <c r="B221" s="3" t="s">
        <v>1810</v>
      </c>
      <c r="C221" s="4">
        <v>1</v>
      </c>
      <c r="D221" s="5">
        <v>29.98</v>
      </c>
      <c r="E221" s="4" t="s">
        <v>1811</v>
      </c>
      <c r="F221" s="3" t="s">
        <v>5925</v>
      </c>
      <c r="G221" s="7" t="s">
        <v>5850</v>
      </c>
      <c r="H221" s="3" t="s">
        <v>6019</v>
      </c>
      <c r="I221" s="3" t="s">
        <v>4836</v>
      </c>
      <c r="J221" s="3" t="s">
        <v>5536</v>
      </c>
      <c r="K221" s="3" t="s">
        <v>5594</v>
      </c>
      <c r="L221" s="8" t="str">
        <f t="shared" si="1"/>
        <v xml:space="preserve">http://slimages.macys.com/is/image/MCY/2592890 </v>
      </c>
    </row>
    <row r="222" spans="1:12" ht="24.75" x14ac:dyDescent="0.25">
      <c r="A222" s="6" t="s">
        <v>1815</v>
      </c>
      <c r="B222" s="3" t="s">
        <v>1810</v>
      </c>
      <c r="C222" s="4">
        <v>1</v>
      </c>
      <c r="D222" s="5">
        <v>29.98</v>
      </c>
      <c r="E222" s="4" t="s">
        <v>1811</v>
      </c>
      <c r="F222" s="3" t="s">
        <v>5925</v>
      </c>
      <c r="G222" s="7" t="s">
        <v>4491</v>
      </c>
      <c r="H222" s="3" t="s">
        <v>6019</v>
      </c>
      <c r="I222" s="3" t="s">
        <v>4836</v>
      </c>
      <c r="J222" s="3" t="s">
        <v>5536</v>
      </c>
      <c r="K222" s="3" t="s">
        <v>5594</v>
      </c>
      <c r="L222" s="8" t="str">
        <f t="shared" si="1"/>
        <v xml:space="preserve">http://slimages.macys.com/is/image/MCY/2592890 </v>
      </c>
    </row>
    <row r="223" spans="1:12" ht="24.75" x14ac:dyDescent="0.25">
      <c r="A223" s="6" t="s">
        <v>1816</v>
      </c>
      <c r="B223" s="3" t="s">
        <v>1810</v>
      </c>
      <c r="C223" s="4">
        <v>2</v>
      </c>
      <c r="D223" s="5">
        <v>59.96</v>
      </c>
      <c r="E223" s="4" t="s">
        <v>1811</v>
      </c>
      <c r="F223" s="3" t="s">
        <v>5925</v>
      </c>
      <c r="G223" s="7" t="s">
        <v>5799</v>
      </c>
      <c r="H223" s="3" t="s">
        <v>6019</v>
      </c>
      <c r="I223" s="3" t="s">
        <v>4836</v>
      </c>
      <c r="J223" s="3" t="s">
        <v>5536</v>
      </c>
      <c r="K223" s="3" t="s">
        <v>5594</v>
      </c>
      <c r="L223" s="8" t="str">
        <f t="shared" si="1"/>
        <v xml:space="preserve">http://slimages.macys.com/is/image/MCY/2592890 </v>
      </c>
    </row>
    <row r="224" spans="1:12" ht="24.75" x14ac:dyDescent="0.25">
      <c r="A224" s="6" t="s">
        <v>1817</v>
      </c>
      <c r="B224" s="3" t="s">
        <v>1810</v>
      </c>
      <c r="C224" s="4">
        <v>2</v>
      </c>
      <c r="D224" s="5">
        <v>59.96</v>
      </c>
      <c r="E224" s="4" t="s">
        <v>1811</v>
      </c>
      <c r="F224" s="3" t="s">
        <v>5925</v>
      </c>
      <c r="G224" s="7" t="s">
        <v>6500</v>
      </c>
      <c r="H224" s="3" t="s">
        <v>6019</v>
      </c>
      <c r="I224" s="3" t="s">
        <v>4836</v>
      </c>
      <c r="J224" s="3" t="s">
        <v>5536</v>
      </c>
      <c r="K224" s="3" t="s">
        <v>5594</v>
      </c>
      <c r="L224" s="8" t="str">
        <f t="shared" si="1"/>
        <v xml:space="preserve">http://slimages.macys.com/is/image/MCY/2592890 </v>
      </c>
    </row>
    <row r="225" spans="1:12" ht="24.75" x14ac:dyDescent="0.25">
      <c r="A225" s="6" t="s">
        <v>1818</v>
      </c>
      <c r="B225" s="3" t="s">
        <v>1810</v>
      </c>
      <c r="C225" s="4">
        <v>1</v>
      </c>
      <c r="D225" s="5">
        <v>29.98</v>
      </c>
      <c r="E225" s="4" t="s">
        <v>1811</v>
      </c>
      <c r="F225" s="3" t="s">
        <v>5925</v>
      </c>
      <c r="G225" s="7" t="s">
        <v>5852</v>
      </c>
      <c r="H225" s="3" t="s">
        <v>6019</v>
      </c>
      <c r="I225" s="3" t="s">
        <v>4836</v>
      </c>
      <c r="J225" s="3" t="s">
        <v>5536</v>
      </c>
      <c r="K225" s="3" t="s">
        <v>5594</v>
      </c>
      <c r="L225" s="8" t="str">
        <f t="shared" si="1"/>
        <v xml:space="preserve">http://slimages.macys.com/is/image/MCY/2592890 </v>
      </c>
    </row>
    <row r="226" spans="1:12" ht="24.75" x14ac:dyDescent="0.25">
      <c r="A226" s="6" t="s">
        <v>1819</v>
      </c>
      <c r="B226" s="3" t="s">
        <v>1810</v>
      </c>
      <c r="C226" s="4">
        <v>1</v>
      </c>
      <c r="D226" s="5">
        <v>29.98</v>
      </c>
      <c r="E226" s="4" t="s">
        <v>1811</v>
      </c>
      <c r="F226" s="3" t="s">
        <v>5925</v>
      </c>
      <c r="G226" s="7" t="s">
        <v>6491</v>
      </c>
      <c r="H226" s="3" t="s">
        <v>6019</v>
      </c>
      <c r="I226" s="3" t="s">
        <v>4836</v>
      </c>
      <c r="J226" s="3" t="s">
        <v>5536</v>
      </c>
      <c r="K226" s="3" t="s">
        <v>5594</v>
      </c>
      <c r="L226" s="8" t="str">
        <f t="shared" si="1"/>
        <v xml:space="preserve">http://slimages.macys.com/is/image/MCY/2592890 </v>
      </c>
    </row>
    <row r="227" spans="1:12" ht="24.75" x14ac:dyDescent="0.25">
      <c r="A227" s="6" t="s">
        <v>1820</v>
      </c>
      <c r="B227" s="3" t="s">
        <v>1821</v>
      </c>
      <c r="C227" s="4">
        <v>1</v>
      </c>
      <c r="D227" s="5">
        <v>38.99</v>
      </c>
      <c r="E227" s="4" t="s">
        <v>1822</v>
      </c>
      <c r="F227" s="3" t="s">
        <v>5798</v>
      </c>
      <c r="G227" s="7" t="s">
        <v>5656</v>
      </c>
      <c r="H227" s="3" t="s">
        <v>5862</v>
      </c>
      <c r="I227" s="3" t="s">
        <v>1692</v>
      </c>
      <c r="J227" s="3" t="s">
        <v>5536</v>
      </c>
      <c r="K227" s="3" t="s">
        <v>6092</v>
      </c>
      <c r="L227" s="8" t="str">
        <f>HYPERLINK("http://slimages.macys.com/is/image/MCY/8154461 ")</f>
        <v xml:space="preserve">http://slimages.macys.com/is/image/MCY/8154461 </v>
      </c>
    </row>
    <row r="228" spans="1:12" ht="24.75" x14ac:dyDescent="0.25">
      <c r="A228" s="6" t="s">
        <v>1823</v>
      </c>
      <c r="B228" s="3" t="s">
        <v>1824</v>
      </c>
      <c r="C228" s="4">
        <v>1</v>
      </c>
      <c r="D228" s="5">
        <v>38.99</v>
      </c>
      <c r="E228" s="4" t="s">
        <v>1825</v>
      </c>
      <c r="F228" s="3" t="s">
        <v>5811</v>
      </c>
      <c r="G228" s="7" t="s">
        <v>5582</v>
      </c>
      <c r="H228" s="3" t="s">
        <v>5892</v>
      </c>
      <c r="I228" s="3" t="s">
        <v>5893</v>
      </c>
      <c r="J228" s="3" t="s">
        <v>5536</v>
      </c>
      <c r="K228" s="3" t="s">
        <v>5594</v>
      </c>
      <c r="L228" s="8" t="str">
        <f>HYPERLINK("http://slimages.macys.com/is/image/MCY/15238385 ")</f>
        <v xml:space="preserve">http://slimages.macys.com/is/image/MCY/15238385 </v>
      </c>
    </row>
    <row r="229" spans="1:12" x14ac:dyDescent="0.25">
      <c r="A229" s="6" t="s">
        <v>1826</v>
      </c>
      <c r="B229" s="3" t="s">
        <v>2997</v>
      </c>
      <c r="C229" s="4">
        <v>1</v>
      </c>
      <c r="D229" s="5">
        <v>79.5</v>
      </c>
      <c r="E229" s="4">
        <v>100077669</v>
      </c>
      <c r="F229" s="3" t="s">
        <v>5610</v>
      </c>
      <c r="G229" s="7" t="s">
        <v>5560</v>
      </c>
      <c r="H229" s="3" t="s">
        <v>5585</v>
      </c>
      <c r="I229" s="3" t="s">
        <v>5734</v>
      </c>
      <c r="J229" s="3" t="s">
        <v>5536</v>
      </c>
      <c r="K229" s="3" t="s">
        <v>5574</v>
      </c>
      <c r="L229" s="8" t="str">
        <f>HYPERLINK("http://slimages.macys.com/is/image/MCY/14630035 ")</f>
        <v xml:space="preserve">http://slimages.macys.com/is/image/MCY/14630035 </v>
      </c>
    </row>
    <row r="230" spans="1:12" ht="24.75" x14ac:dyDescent="0.25">
      <c r="A230" s="6" t="s">
        <v>3001</v>
      </c>
      <c r="B230" s="3" t="s">
        <v>3002</v>
      </c>
      <c r="C230" s="4">
        <v>2</v>
      </c>
      <c r="D230" s="5">
        <v>69.98</v>
      </c>
      <c r="E230" s="4" t="s">
        <v>3003</v>
      </c>
      <c r="F230" s="3" t="s">
        <v>5578</v>
      </c>
      <c r="G230" s="7" t="s">
        <v>5533</v>
      </c>
      <c r="H230" s="3" t="s">
        <v>6003</v>
      </c>
      <c r="I230" s="3" t="s">
        <v>6004</v>
      </c>
      <c r="J230" s="3" t="s">
        <v>5536</v>
      </c>
      <c r="K230" s="3" t="s">
        <v>4803</v>
      </c>
      <c r="L230" s="8" t="str">
        <f>HYPERLINK("http://slimages.macys.com/is/image/MCY/14766687 ")</f>
        <v xml:space="preserve">http://slimages.macys.com/is/image/MCY/14766687 </v>
      </c>
    </row>
    <row r="231" spans="1:12" ht="24.75" x14ac:dyDescent="0.25">
      <c r="A231" s="6" t="s">
        <v>1827</v>
      </c>
      <c r="B231" s="3" t="s">
        <v>3002</v>
      </c>
      <c r="C231" s="4">
        <v>1</v>
      </c>
      <c r="D231" s="5">
        <v>34.99</v>
      </c>
      <c r="E231" s="4" t="s">
        <v>3003</v>
      </c>
      <c r="F231" s="3" t="s">
        <v>5578</v>
      </c>
      <c r="G231" s="7" t="s">
        <v>5560</v>
      </c>
      <c r="H231" s="3" t="s">
        <v>6003</v>
      </c>
      <c r="I231" s="3" t="s">
        <v>6004</v>
      </c>
      <c r="J231" s="3" t="s">
        <v>5536</v>
      </c>
      <c r="K231" s="3" t="s">
        <v>4803</v>
      </c>
      <c r="L231" s="8" t="str">
        <f>HYPERLINK("http://slimages.macys.com/is/image/MCY/14766687 ")</f>
        <v xml:space="preserve">http://slimages.macys.com/is/image/MCY/14766687 </v>
      </c>
    </row>
    <row r="232" spans="1:12" ht="48.75" x14ac:dyDescent="0.25">
      <c r="A232" s="6" t="s">
        <v>6000</v>
      </c>
      <c r="B232" s="3" t="s">
        <v>6001</v>
      </c>
      <c r="C232" s="4">
        <v>1</v>
      </c>
      <c r="D232" s="5">
        <v>34.99</v>
      </c>
      <c r="E232" s="4" t="s">
        <v>6002</v>
      </c>
      <c r="F232" s="3" t="s">
        <v>5604</v>
      </c>
      <c r="G232" s="7" t="s">
        <v>5562</v>
      </c>
      <c r="H232" s="3" t="s">
        <v>6003</v>
      </c>
      <c r="I232" s="3" t="s">
        <v>6004</v>
      </c>
      <c r="J232" s="3" t="s">
        <v>5536</v>
      </c>
      <c r="K232" s="3" t="s">
        <v>6005</v>
      </c>
      <c r="L232" s="8" t="str">
        <f>HYPERLINK("http://slimages.macys.com/is/image/MCY/10293522 ")</f>
        <v xml:space="preserve">http://slimages.macys.com/is/image/MCY/10293522 </v>
      </c>
    </row>
    <row r="233" spans="1:12" x14ac:dyDescent="0.25">
      <c r="A233" s="6" t="s">
        <v>1828</v>
      </c>
      <c r="B233" s="3" t="s">
        <v>1829</v>
      </c>
      <c r="C233" s="4">
        <v>1</v>
      </c>
      <c r="D233" s="5">
        <v>69.5</v>
      </c>
      <c r="E233" s="4">
        <v>100076115</v>
      </c>
      <c r="F233" s="3" t="s">
        <v>5540</v>
      </c>
      <c r="G233" s="7" t="s">
        <v>5799</v>
      </c>
      <c r="H233" s="3" t="s">
        <v>5585</v>
      </c>
      <c r="I233" s="3" t="s">
        <v>5586</v>
      </c>
      <c r="J233" s="3" t="s">
        <v>5536</v>
      </c>
      <c r="K233" s="3" t="s">
        <v>5574</v>
      </c>
      <c r="L233" s="8" t="str">
        <f>HYPERLINK("http://slimages.macys.com/is/image/MCY/15328926 ")</f>
        <v xml:space="preserve">http://slimages.macys.com/is/image/MCY/15328926 </v>
      </c>
    </row>
    <row r="234" spans="1:12" ht="48.75" x14ac:dyDescent="0.25">
      <c r="A234" s="6" t="s">
        <v>884</v>
      </c>
      <c r="B234" s="3" t="s">
        <v>6001</v>
      </c>
      <c r="C234" s="4">
        <v>2</v>
      </c>
      <c r="D234" s="5">
        <v>69.98</v>
      </c>
      <c r="E234" s="4" t="s">
        <v>6002</v>
      </c>
      <c r="F234" s="3" t="s">
        <v>5745</v>
      </c>
      <c r="G234" s="7" t="s">
        <v>5560</v>
      </c>
      <c r="H234" s="3" t="s">
        <v>6003</v>
      </c>
      <c r="I234" s="3" t="s">
        <v>6004</v>
      </c>
      <c r="J234" s="3" t="s">
        <v>5536</v>
      </c>
      <c r="K234" s="3" t="s">
        <v>6005</v>
      </c>
      <c r="L234" s="8" t="str">
        <f>HYPERLINK("http://slimages.macys.com/is/image/MCY/10293522 ")</f>
        <v xml:space="preserve">http://slimages.macys.com/is/image/MCY/10293522 </v>
      </c>
    </row>
    <row r="235" spans="1:12" ht="48.75" x14ac:dyDescent="0.25">
      <c r="A235" s="6" t="s">
        <v>1830</v>
      </c>
      <c r="B235" s="3" t="s">
        <v>6001</v>
      </c>
      <c r="C235" s="4">
        <v>2</v>
      </c>
      <c r="D235" s="5">
        <v>69.98</v>
      </c>
      <c r="E235" s="4" t="s">
        <v>6002</v>
      </c>
      <c r="F235" s="3" t="s">
        <v>5604</v>
      </c>
      <c r="G235" s="7" t="s">
        <v>5560</v>
      </c>
      <c r="H235" s="3" t="s">
        <v>6003</v>
      </c>
      <c r="I235" s="3" t="s">
        <v>6004</v>
      </c>
      <c r="J235" s="3" t="s">
        <v>5536</v>
      </c>
      <c r="K235" s="3" t="s">
        <v>6005</v>
      </c>
      <c r="L235" s="8" t="str">
        <f>HYPERLINK("http://slimages.macys.com/is/image/MCY/10293522 ")</f>
        <v xml:space="preserve">http://slimages.macys.com/is/image/MCY/10293522 </v>
      </c>
    </row>
    <row r="236" spans="1:12" ht="60.75" x14ac:dyDescent="0.25">
      <c r="A236" s="6" t="s">
        <v>1831</v>
      </c>
      <c r="B236" s="3" t="s">
        <v>1832</v>
      </c>
      <c r="C236" s="4">
        <v>1</v>
      </c>
      <c r="D236" s="5">
        <v>52</v>
      </c>
      <c r="E236" s="4" t="s">
        <v>1833</v>
      </c>
      <c r="F236" s="3" t="s">
        <v>6075</v>
      </c>
      <c r="G236" s="7" t="s">
        <v>5567</v>
      </c>
      <c r="H236" s="3" t="s">
        <v>6019</v>
      </c>
      <c r="I236" s="3" t="s">
        <v>6020</v>
      </c>
      <c r="J236" s="3" t="s">
        <v>5536</v>
      </c>
      <c r="K236" s="3" t="s">
        <v>1834</v>
      </c>
      <c r="L236" s="8" t="str">
        <f>HYPERLINK("http://slimages.macys.com/is/image/MCY/14725673 ")</f>
        <v xml:space="preserve">http://slimages.macys.com/is/image/MCY/14725673 </v>
      </c>
    </row>
    <row r="237" spans="1:12" x14ac:dyDescent="0.25">
      <c r="A237" s="6" t="s">
        <v>1835</v>
      </c>
      <c r="B237" s="3" t="s">
        <v>6007</v>
      </c>
      <c r="C237" s="4">
        <v>2</v>
      </c>
      <c r="D237" s="5">
        <v>139</v>
      </c>
      <c r="E237" s="4">
        <v>100082811</v>
      </c>
      <c r="F237" s="3" t="s">
        <v>5783</v>
      </c>
      <c r="G237" s="7" t="s">
        <v>5596</v>
      </c>
      <c r="H237" s="3" t="s">
        <v>5585</v>
      </c>
      <c r="I237" s="3" t="s">
        <v>5734</v>
      </c>
      <c r="J237" s="3" t="s">
        <v>5536</v>
      </c>
      <c r="K237" s="3" t="s">
        <v>5594</v>
      </c>
      <c r="L237" s="8" t="str">
        <f>HYPERLINK("http://slimages.macys.com/is/image/MCY/15861495 ")</f>
        <v xml:space="preserve">http://slimages.macys.com/is/image/MCY/15861495 </v>
      </c>
    </row>
    <row r="238" spans="1:12" x14ac:dyDescent="0.25">
      <c r="A238" s="6" t="s">
        <v>1836</v>
      </c>
      <c r="B238" s="3" t="s">
        <v>6007</v>
      </c>
      <c r="C238" s="4">
        <v>3</v>
      </c>
      <c r="D238" s="5">
        <v>208.5</v>
      </c>
      <c r="E238" s="4">
        <v>100082811</v>
      </c>
      <c r="F238" s="3" t="s">
        <v>6010</v>
      </c>
      <c r="G238" s="7" t="s">
        <v>5596</v>
      </c>
      <c r="H238" s="3" t="s">
        <v>5585</v>
      </c>
      <c r="I238" s="3" t="s">
        <v>5734</v>
      </c>
      <c r="J238" s="3" t="s">
        <v>5536</v>
      </c>
      <c r="K238" s="3" t="s">
        <v>5594</v>
      </c>
      <c r="L238" s="8" t="str">
        <f>HYPERLINK("http://slimages.macys.com/is/image/MCY/15861495 ")</f>
        <v xml:space="preserve">http://slimages.macys.com/is/image/MCY/15861495 </v>
      </c>
    </row>
    <row r="239" spans="1:12" x14ac:dyDescent="0.25">
      <c r="A239" s="6" t="s">
        <v>6008</v>
      </c>
      <c r="B239" s="3" t="s">
        <v>6007</v>
      </c>
      <c r="C239" s="4">
        <v>1</v>
      </c>
      <c r="D239" s="5">
        <v>69.5</v>
      </c>
      <c r="E239" s="4">
        <v>100082811</v>
      </c>
      <c r="F239" s="3" t="s">
        <v>5783</v>
      </c>
      <c r="G239" s="7" t="s">
        <v>5533</v>
      </c>
      <c r="H239" s="3" t="s">
        <v>5585</v>
      </c>
      <c r="I239" s="3" t="s">
        <v>5734</v>
      </c>
      <c r="J239" s="3" t="s">
        <v>5536</v>
      </c>
      <c r="K239" s="3" t="s">
        <v>5594</v>
      </c>
      <c r="L239" s="8" t="str">
        <f>HYPERLINK("http://slimages.macys.com/is/image/MCY/15861495 ")</f>
        <v xml:space="preserve">http://slimages.macys.com/is/image/MCY/15861495 </v>
      </c>
    </row>
    <row r="240" spans="1:12" ht="24.75" x14ac:dyDescent="0.25">
      <c r="A240" s="6" t="s">
        <v>1837</v>
      </c>
      <c r="B240" s="3" t="s">
        <v>1838</v>
      </c>
      <c r="C240" s="4">
        <v>1</v>
      </c>
      <c r="D240" s="5">
        <v>65</v>
      </c>
      <c r="E240" s="4">
        <v>100057628</v>
      </c>
      <c r="F240" s="3" t="s">
        <v>5604</v>
      </c>
      <c r="G240" s="7" t="s">
        <v>5733</v>
      </c>
      <c r="H240" s="3" t="s">
        <v>5585</v>
      </c>
      <c r="I240" s="3" t="s">
        <v>5734</v>
      </c>
      <c r="J240" s="3" t="s">
        <v>5536</v>
      </c>
      <c r="K240" s="3" t="s">
        <v>934</v>
      </c>
      <c r="L240" s="8" t="str">
        <f>HYPERLINK("http://slimages.macys.com/is/image/MCY/12235695 ")</f>
        <v xml:space="preserve">http://slimages.macys.com/is/image/MCY/12235695 </v>
      </c>
    </row>
    <row r="241" spans="1:12" x14ac:dyDescent="0.25">
      <c r="A241" s="6" t="s">
        <v>1839</v>
      </c>
      <c r="B241" s="3" t="s">
        <v>1840</v>
      </c>
      <c r="C241" s="4">
        <v>1</v>
      </c>
      <c r="D241" s="5">
        <v>54.99</v>
      </c>
      <c r="E241" s="4" t="s">
        <v>1841</v>
      </c>
      <c r="F241" s="3" t="s">
        <v>1842</v>
      </c>
      <c r="G241" s="7" t="s">
        <v>5533</v>
      </c>
      <c r="H241" s="3" t="s">
        <v>5978</v>
      </c>
      <c r="I241" s="3" t="s">
        <v>5979</v>
      </c>
      <c r="J241" s="3" t="s">
        <v>5536</v>
      </c>
      <c r="K241" s="3" t="s">
        <v>3893</v>
      </c>
      <c r="L241" s="8" t="str">
        <f>HYPERLINK("http://slimages.macys.com/is/image/MCY/14311848 ")</f>
        <v xml:space="preserve">http://slimages.macys.com/is/image/MCY/14311848 </v>
      </c>
    </row>
    <row r="242" spans="1:12" ht="24.75" x14ac:dyDescent="0.25">
      <c r="A242" s="6" t="s">
        <v>1843</v>
      </c>
      <c r="B242" s="3" t="s">
        <v>1844</v>
      </c>
      <c r="C242" s="4">
        <v>1</v>
      </c>
      <c r="D242" s="5">
        <v>37.99</v>
      </c>
      <c r="E242" s="4">
        <v>3601456</v>
      </c>
      <c r="F242" s="3" t="s">
        <v>5540</v>
      </c>
      <c r="G242" s="7" t="s">
        <v>5755</v>
      </c>
      <c r="H242" s="3" t="s">
        <v>5722</v>
      </c>
      <c r="I242" s="3" t="s">
        <v>1845</v>
      </c>
      <c r="J242" s="3" t="s">
        <v>5536</v>
      </c>
      <c r="K242" s="3" t="s">
        <v>5594</v>
      </c>
      <c r="L242" s="8" t="str">
        <f>HYPERLINK("http://slimages.macys.com/is/image/MCY/8431097 ")</f>
        <v xml:space="preserve">http://slimages.macys.com/is/image/MCY/8431097 </v>
      </c>
    </row>
    <row r="243" spans="1:12" ht="24.75" x14ac:dyDescent="0.25">
      <c r="A243" s="6" t="s">
        <v>1846</v>
      </c>
      <c r="B243" s="3" t="s">
        <v>1847</v>
      </c>
      <c r="C243" s="4">
        <v>1</v>
      </c>
      <c r="D243" s="5">
        <v>37.99</v>
      </c>
      <c r="E243" s="4">
        <v>3601594</v>
      </c>
      <c r="F243" s="3" t="s">
        <v>5640</v>
      </c>
      <c r="G243" s="7"/>
      <c r="H243" s="3" t="s">
        <v>5722</v>
      </c>
      <c r="I243" s="3" t="s">
        <v>1845</v>
      </c>
      <c r="J243" s="3" t="s">
        <v>5536</v>
      </c>
      <c r="K243" s="3" t="s">
        <v>5549</v>
      </c>
      <c r="L243" s="8" t="str">
        <f>HYPERLINK("http://slimages.macys.com/is/image/MCY/14828677 ")</f>
        <v xml:space="preserve">http://slimages.macys.com/is/image/MCY/14828677 </v>
      </c>
    </row>
    <row r="244" spans="1:12" ht="24.75" x14ac:dyDescent="0.25">
      <c r="A244" s="6" t="s">
        <v>1848</v>
      </c>
      <c r="B244" s="3" t="s">
        <v>4801</v>
      </c>
      <c r="C244" s="4">
        <v>1</v>
      </c>
      <c r="D244" s="5">
        <v>34.99</v>
      </c>
      <c r="E244" s="4" t="s">
        <v>4802</v>
      </c>
      <c r="F244" s="3" t="s">
        <v>5820</v>
      </c>
      <c r="G244" s="7" t="s">
        <v>5533</v>
      </c>
      <c r="H244" s="3" t="s">
        <v>6003</v>
      </c>
      <c r="I244" s="3" t="s">
        <v>6004</v>
      </c>
      <c r="J244" s="3" t="s">
        <v>5536</v>
      </c>
      <c r="K244" s="3" t="s">
        <v>4803</v>
      </c>
      <c r="L244" s="8" t="str">
        <f t="shared" ref="L244:L249" si="2">HYPERLINK("http://slimages.macys.com/is/image/MCY/14766516 ")</f>
        <v xml:space="preserve">http://slimages.macys.com/is/image/MCY/14766516 </v>
      </c>
    </row>
    <row r="245" spans="1:12" ht="24.75" x14ac:dyDescent="0.25">
      <c r="A245" s="6" t="s">
        <v>897</v>
      </c>
      <c r="B245" s="3" t="s">
        <v>4801</v>
      </c>
      <c r="C245" s="4">
        <v>1</v>
      </c>
      <c r="D245" s="5">
        <v>34.99</v>
      </c>
      <c r="E245" s="4" t="s">
        <v>4802</v>
      </c>
      <c r="F245" s="3" t="s">
        <v>5578</v>
      </c>
      <c r="G245" s="7" t="s">
        <v>5560</v>
      </c>
      <c r="H245" s="3" t="s">
        <v>6003</v>
      </c>
      <c r="I245" s="3" t="s">
        <v>6004</v>
      </c>
      <c r="J245" s="3" t="s">
        <v>5536</v>
      </c>
      <c r="K245" s="3" t="s">
        <v>4803</v>
      </c>
      <c r="L245" s="8" t="str">
        <f t="shared" si="2"/>
        <v xml:space="preserve">http://slimages.macys.com/is/image/MCY/14766516 </v>
      </c>
    </row>
    <row r="246" spans="1:12" ht="24.75" x14ac:dyDescent="0.25">
      <c r="A246" s="6" t="s">
        <v>1849</v>
      </c>
      <c r="B246" s="3" t="s">
        <v>4801</v>
      </c>
      <c r="C246" s="4">
        <v>1</v>
      </c>
      <c r="D246" s="5">
        <v>34.99</v>
      </c>
      <c r="E246" s="4" t="s">
        <v>4802</v>
      </c>
      <c r="F246" s="3" t="s">
        <v>5604</v>
      </c>
      <c r="G246" s="7" t="s">
        <v>5562</v>
      </c>
      <c r="H246" s="3" t="s">
        <v>6003</v>
      </c>
      <c r="I246" s="3" t="s">
        <v>6004</v>
      </c>
      <c r="J246" s="3" t="s">
        <v>5536</v>
      </c>
      <c r="K246" s="3" t="s">
        <v>4803</v>
      </c>
      <c r="L246" s="8" t="str">
        <f t="shared" si="2"/>
        <v xml:space="preserve">http://slimages.macys.com/is/image/MCY/14766516 </v>
      </c>
    </row>
    <row r="247" spans="1:12" ht="24.75" x14ac:dyDescent="0.25">
      <c r="A247" s="6" t="s">
        <v>1850</v>
      </c>
      <c r="B247" s="3" t="s">
        <v>4801</v>
      </c>
      <c r="C247" s="4">
        <v>1</v>
      </c>
      <c r="D247" s="5">
        <v>34.99</v>
      </c>
      <c r="E247" s="4" t="s">
        <v>4802</v>
      </c>
      <c r="F247" s="3" t="s">
        <v>5604</v>
      </c>
      <c r="G247" s="7" t="s">
        <v>5598</v>
      </c>
      <c r="H247" s="3" t="s">
        <v>6003</v>
      </c>
      <c r="I247" s="3" t="s">
        <v>6004</v>
      </c>
      <c r="J247" s="3" t="s">
        <v>5536</v>
      </c>
      <c r="K247" s="3" t="s">
        <v>4803</v>
      </c>
      <c r="L247" s="8" t="str">
        <f t="shared" si="2"/>
        <v xml:space="preserve">http://slimages.macys.com/is/image/MCY/14766516 </v>
      </c>
    </row>
    <row r="248" spans="1:12" ht="24.75" x14ac:dyDescent="0.25">
      <c r="A248" s="6" t="s">
        <v>1851</v>
      </c>
      <c r="B248" s="3" t="s">
        <v>4801</v>
      </c>
      <c r="C248" s="4">
        <v>1</v>
      </c>
      <c r="D248" s="5">
        <v>34.99</v>
      </c>
      <c r="E248" s="4" t="s">
        <v>4802</v>
      </c>
      <c r="F248" s="3" t="s">
        <v>5745</v>
      </c>
      <c r="G248" s="7" t="s">
        <v>5533</v>
      </c>
      <c r="H248" s="3" t="s">
        <v>6003</v>
      </c>
      <c r="I248" s="3" t="s">
        <v>6004</v>
      </c>
      <c r="J248" s="3" t="s">
        <v>5536</v>
      </c>
      <c r="K248" s="3" t="s">
        <v>4803</v>
      </c>
      <c r="L248" s="8" t="str">
        <f t="shared" si="2"/>
        <v xml:space="preserve">http://slimages.macys.com/is/image/MCY/14766516 </v>
      </c>
    </row>
    <row r="249" spans="1:12" ht="24.75" x14ac:dyDescent="0.25">
      <c r="A249" s="6" t="s">
        <v>1852</v>
      </c>
      <c r="B249" s="3" t="s">
        <v>4801</v>
      </c>
      <c r="C249" s="4">
        <v>1</v>
      </c>
      <c r="D249" s="5">
        <v>34.99</v>
      </c>
      <c r="E249" s="4" t="s">
        <v>4802</v>
      </c>
      <c r="F249" s="3" t="s">
        <v>5604</v>
      </c>
      <c r="G249" s="7" t="s">
        <v>5533</v>
      </c>
      <c r="H249" s="3" t="s">
        <v>6003</v>
      </c>
      <c r="I249" s="3" t="s">
        <v>6004</v>
      </c>
      <c r="J249" s="3" t="s">
        <v>5536</v>
      </c>
      <c r="K249" s="3" t="s">
        <v>4803</v>
      </c>
      <c r="L249" s="8" t="str">
        <f t="shared" si="2"/>
        <v xml:space="preserve">http://slimages.macys.com/is/image/MCY/14766516 </v>
      </c>
    </row>
    <row r="250" spans="1:12" x14ac:dyDescent="0.25">
      <c r="A250" s="6" t="s">
        <v>1853</v>
      </c>
      <c r="B250" s="3" t="s">
        <v>4031</v>
      </c>
      <c r="C250" s="4">
        <v>2</v>
      </c>
      <c r="D250" s="5">
        <v>99</v>
      </c>
      <c r="E250" s="4">
        <v>100033772</v>
      </c>
      <c r="F250" s="3" t="s">
        <v>5610</v>
      </c>
      <c r="G250" s="7" t="s">
        <v>5533</v>
      </c>
      <c r="H250" s="3" t="s">
        <v>5585</v>
      </c>
      <c r="I250" s="3" t="s">
        <v>5734</v>
      </c>
      <c r="J250" s="3" t="s">
        <v>5536</v>
      </c>
      <c r="K250" s="3" t="s">
        <v>5594</v>
      </c>
      <c r="L250" s="8" t="str">
        <f>HYPERLINK("http://slimages.macys.com/is/image/MCY/10217036 ")</f>
        <v xml:space="preserve">http://slimages.macys.com/is/image/MCY/10217036 </v>
      </c>
    </row>
    <row r="251" spans="1:12" x14ac:dyDescent="0.25">
      <c r="A251" s="6" t="s">
        <v>4804</v>
      </c>
      <c r="B251" s="3" t="s">
        <v>4031</v>
      </c>
      <c r="C251" s="4">
        <v>1</v>
      </c>
      <c r="D251" s="5">
        <v>49.5</v>
      </c>
      <c r="E251" s="4">
        <v>100033772</v>
      </c>
      <c r="F251" s="3" t="s">
        <v>5754</v>
      </c>
      <c r="G251" s="7" t="s">
        <v>5533</v>
      </c>
      <c r="H251" s="3" t="s">
        <v>5585</v>
      </c>
      <c r="I251" s="3" t="s">
        <v>5734</v>
      </c>
      <c r="J251" s="3" t="s">
        <v>5536</v>
      </c>
      <c r="K251" s="3" t="s">
        <v>5594</v>
      </c>
      <c r="L251" s="8" t="str">
        <f>HYPERLINK("http://slimages.macys.com/is/image/MCY/10217036 ")</f>
        <v xml:space="preserve">http://slimages.macys.com/is/image/MCY/10217036 </v>
      </c>
    </row>
    <row r="252" spans="1:12" ht="24.75" x14ac:dyDescent="0.25">
      <c r="A252" s="6" t="s">
        <v>3924</v>
      </c>
      <c r="B252" s="3" t="s">
        <v>3916</v>
      </c>
      <c r="C252" s="4">
        <v>1</v>
      </c>
      <c r="D252" s="5">
        <v>50</v>
      </c>
      <c r="E252" s="4" t="s">
        <v>3917</v>
      </c>
      <c r="F252" s="3" t="s">
        <v>5820</v>
      </c>
      <c r="G252" s="7" t="s">
        <v>5672</v>
      </c>
      <c r="H252" s="3" t="s">
        <v>6019</v>
      </c>
      <c r="I252" s="3" t="s">
        <v>3918</v>
      </c>
      <c r="J252" s="3" t="s">
        <v>5536</v>
      </c>
      <c r="K252" s="3" t="s">
        <v>6021</v>
      </c>
      <c r="L252" s="8" t="str">
        <f>HYPERLINK("http://slimages.macys.com/is/image/MCY/15863240 ")</f>
        <v xml:space="preserve">http://slimages.macys.com/is/image/MCY/15863240 </v>
      </c>
    </row>
    <row r="253" spans="1:12" ht="24.75" x14ac:dyDescent="0.25">
      <c r="A253" s="6" t="s">
        <v>1854</v>
      </c>
      <c r="B253" s="3" t="s">
        <v>3916</v>
      </c>
      <c r="C253" s="4">
        <v>1</v>
      </c>
      <c r="D253" s="5">
        <v>50</v>
      </c>
      <c r="E253" s="4" t="s">
        <v>3917</v>
      </c>
      <c r="F253" s="3" t="s">
        <v>5820</v>
      </c>
      <c r="G253" s="7" t="s">
        <v>5579</v>
      </c>
      <c r="H253" s="3" t="s">
        <v>6019</v>
      </c>
      <c r="I253" s="3" t="s">
        <v>3918</v>
      </c>
      <c r="J253" s="3" t="s">
        <v>5536</v>
      </c>
      <c r="K253" s="3" t="s">
        <v>6021</v>
      </c>
      <c r="L253" s="8" t="str">
        <f>HYPERLINK("http://slimages.macys.com/is/image/MCY/15863240 ")</f>
        <v xml:space="preserve">http://slimages.macys.com/is/image/MCY/15863240 </v>
      </c>
    </row>
    <row r="254" spans="1:12" ht="24.75" x14ac:dyDescent="0.25">
      <c r="A254" s="6" t="s">
        <v>6043</v>
      </c>
      <c r="B254" s="3" t="s">
        <v>6023</v>
      </c>
      <c r="C254" s="4">
        <v>1</v>
      </c>
      <c r="D254" s="5">
        <v>36.99</v>
      </c>
      <c r="E254" s="4" t="s">
        <v>6024</v>
      </c>
      <c r="F254" s="3" t="s">
        <v>5625</v>
      </c>
      <c r="G254" s="7"/>
      <c r="H254" s="3" t="s">
        <v>6026</v>
      </c>
      <c r="I254" s="3" t="s">
        <v>6027</v>
      </c>
      <c r="J254" s="3" t="s">
        <v>5536</v>
      </c>
      <c r="K254" s="3" t="s">
        <v>5641</v>
      </c>
      <c r="L254" s="8" t="str">
        <f>HYPERLINK("http://slimages.macys.com/is/image/MCY/16260743 ")</f>
        <v xml:space="preserve">http://slimages.macys.com/is/image/MCY/16260743 </v>
      </c>
    </row>
    <row r="255" spans="1:12" ht="24.75" x14ac:dyDescent="0.25">
      <c r="A255" s="6" t="s">
        <v>6032</v>
      </c>
      <c r="B255" s="3" t="s">
        <v>6023</v>
      </c>
      <c r="C255" s="4">
        <v>1</v>
      </c>
      <c r="D255" s="5">
        <v>36.99</v>
      </c>
      <c r="E255" s="4" t="s">
        <v>6024</v>
      </c>
      <c r="F255" s="3" t="s">
        <v>5625</v>
      </c>
      <c r="G255" s="7" t="s">
        <v>5768</v>
      </c>
      <c r="H255" s="3" t="s">
        <v>6026</v>
      </c>
      <c r="I255" s="3" t="s">
        <v>6027</v>
      </c>
      <c r="J255" s="3" t="s">
        <v>5536</v>
      </c>
      <c r="K255" s="3" t="s">
        <v>5641</v>
      </c>
      <c r="L255" s="8" t="str">
        <f>HYPERLINK("http://slimages.macys.com/is/image/MCY/16260743 ")</f>
        <v xml:space="preserve">http://slimages.macys.com/is/image/MCY/16260743 </v>
      </c>
    </row>
    <row r="256" spans="1:12" ht="24.75" x14ac:dyDescent="0.25">
      <c r="A256" s="6" t="s">
        <v>910</v>
      </c>
      <c r="B256" s="3" t="s">
        <v>6023</v>
      </c>
      <c r="C256" s="4">
        <v>1</v>
      </c>
      <c r="D256" s="5">
        <v>36.99</v>
      </c>
      <c r="E256" s="4" t="s">
        <v>6024</v>
      </c>
      <c r="F256" s="3" t="s">
        <v>5625</v>
      </c>
      <c r="G256" s="7"/>
      <c r="H256" s="3" t="s">
        <v>6026</v>
      </c>
      <c r="I256" s="3" t="s">
        <v>6027</v>
      </c>
      <c r="J256" s="3" t="s">
        <v>5536</v>
      </c>
      <c r="K256" s="3" t="s">
        <v>5641</v>
      </c>
      <c r="L256" s="8" t="str">
        <f>HYPERLINK("http://slimages.macys.com/is/image/MCY/16260743 ")</f>
        <v xml:space="preserve">http://slimages.macys.com/is/image/MCY/16260743 </v>
      </c>
    </row>
    <row r="257" spans="1:12" ht="24.75" x14ac:dyDescent="0.25">
      <c r="A257" s="6" t="s">
        <v>2214</v>
      </c>
      <c r="B257" s="3" t="s">
        <v>6023</v>
      </c>
      <c r="C257" s="4">
        <v>1</v>
      </c>
      <c r="D257" s="5">
        <v>36.99</v>
      </c>
      <c r="E257" s="4" t="s">
        <v>6024</v>
      </c>
      <c r="F257" s="3" t="s">
        <v>5625</v>
      </c>
      <c r="G257" s="7" t="s">
        <v>5779</v>
      </c>
      <c r="H257" s="3" t="s">
        <v>6026</v>
      </c>
      <c r="I257" s="3" t="s">
        <v>6027</v>
      </c>
      <c r="J257" s="3" t="s">
        <v>5536</v>
      </c>
      <c r="K257" s="3" t="s">
        <v>5641</v>
      </c>
      <c r="L257" s="8" t="str">
        <f>HYPERLINK("http://slimages.macys.com/is/image/MCY/16260743 ")</f>
        <v xml:space="preserve">http://slimages.macys.com/is/image/MCY/16260743 </v>
      </c>
    </row>
    <row r="258" spans="1:12" ht="24.75" x14ac:dyDescent="0.25">
      <c r="A258" s="6" t="s">
        <v>1855</v>
      </c>
      <c r="B258" s="3" t="s">
        <v>6045</v>
      </c>
      <c r="C258" s="4">
        <v>1</v>
      </c>
      <c r="D258" s="5">
        <v>36.99</v>
      </c>
      <c r="E258" s="4" t="s">
        <v>6046</v>
      </c>
      <c r="F258" s="3" t="s">
        <v>5604</v>
      </c>
      <c r="G258" s="7" t="s">
        <v>6476</v>
      </c>
      <c r="H258" s="3" t="s">
        <v>6026</v>
      </c>
      <c r="I258" s="3" t="s">
        <v>6027</v>
      </c>
      <c r="J258" s="3" t="s">
        <v>5536</v>
      </c>
      <c r="K258" s="3" t="s">
        <v>5641</v>
      </c>
      <c r="L258" s="8" t="str">
        <f>HYPERLINK("http://slimages.macys.com/is/image/MCY/14722493 ")</f>
        <v xml:space="preserve">http://slimages.macys.com/is/image/MCY/14722493 </v>
      </c>
    </row>
    <row r="259" spans="1:12" ht="24.75" x14ac:dyDescent="0.25">
      <c r="A259" s="6" t="s">
        <v>1856</v>
      </c>
      <c r="B259" s="3" t="s">
        <v>6045</v>
      </c>
      <c r="C259" s="4">
        <v>1</v>
      </c>
      <c r="D259" s="5">
        <v>36.99</v>
      </c>
      <c r="E259" s="4" t="s">
        <v>6046</v>
      </c>
      <c r="F259" s="3" t="s">
        <v>5604</v>
      </c>
      <c r="G259" s="7" t="s">
        <v>5768</v>
      </c>
      <c r="H259" s="3" t="s">
        <v>6026</v>
      </c>
      <c r="I259" s="3" t="s">
        <v>6027</v>
      </c>
      <c r="J259" s="3" t="s">
        <v>5536</v>
      </c>
      <c r="K259" s="3" t="s">
        <v>5641</v>
      </c>
      <c r="L259" s="8" t="str">
        <f>HYPERLINK("http://slimages.macys.com/is/image/MCY/14722493 ")</f>
        <v xml:space="preserve">http://slimages.macys.com/is/image/MCY/14722493 </v>
      </c>
    </row>
    <row r="260" spans="1:12" ht="24.75" x14ac:dyDescent="0.25">
      <c r="A260" s="6" t="s">
        <v>1857</v>
      </c>
      <c r="B260" s="3" t="s">
        <v>2205</v>
      </c>
      <c r="C260" s="4">
        <v>1</v>
      </c>
      <c r="D260" s="5">
        <v>36.99</v>
      </c>
      <c r="E260" s="4" t="s">
        <v>2206</v>
      </c>
      <c r="F260" s="3" t="s">
        <v>5566</v>
      </c>
      <c r="G260" s="7" t="s">
        <v>5777</v>
      </c>
      <c r="H260" s="3" t="s">
        <v>6026</v>
      </c>
      <c r="I260" s="3" t="s">
        <v>6027</v>
      </c>
      <c r="J260" s="3" t="s">
        <v>5536</v>
      </c>
      <c r="K260" s="3" t="s">
        <v>5641</v>
      </c>
      <c r="L260" s="8" t="str">
        <f>HYPERLINK("http://slimages.macys.com/is/image/MCY/15953887 ")</f>
        <v xml:space="preserve">http://slimages.macys.com/is/image/MCY/15953887 </v>
      </c>
    </row>
    <row r="261" spans="1:12" ht="24.75" x14ac:dyDescent="0.25">
      <c r="A261" s="6" t="s">
        <v>1858</v>
      </c>
      <c r="B261" s="3" t="s">
        <v>2205</v>
      </c>
      <c r="C261" s="4">
        <v>1</v>
      </c>
      <c r="D261" s="5">
        <v>36.99</v>
      </c>
      <c r="E261" s="4" t="s">
        <v>2206</v>
      </c>
      <c r="F261" s="3" t="s">
        <v>5566</v>
      </c>
      <c r="G261" s="7" t="s">
        <v>5760</v>
      </c>
      <c r="H261" s="3" t="s">
        <v>6026</v>
      </c>
      <c r="I261" s="3" t="s">
        <v>6027</v>
      </c>
      <c r="J261" s="3" t="s">
        <v>5536</v>
      </c>
      <c r="K261" s="3" t="s">
        <v>5641</v>
      </c>
      <c r="L261" s="8" t="str">
        <f>HYPERLINK("http://slimages.macys.com/is/image/MCY/15953887 ")</f>
        <v xml:space="preserve">http://slimages.macys.com/is/image/MCY/15953887 </v>
      </c>
    </row>
    <row r="262" spans="1:12" ht="24.75" x14ac:dyDescent="0.25">
      <c r="A262" s="6" t="s">
        <v>3025</v>
      </c>
      <c r="B262" s="3" t="s">
        <v>2205</v>
      </c>
      <c r="C262" s="4">
        <v>1</v>
      </c>
      <c r="D262" s="5">
        <v>36.99</v>
      </c>
      <c r="E262" s="4" t="s">
        <v>2206</v>
      </c>
      <c r="F262" s="3" t="s">
        <v>5566</v>
      </c>
      <c r="G262" s="7" t="s">
        <v>6025</v>
      </c>
      <c r="H262" s="3" t="s">
        <v>6026</v>
      </c>
      <c r="I262" s="3" t="s">
        <v>6027</v>
      </c>
      <c r="J262" s="3" t="s">
        <v>5536</v>
      </c>
      <c r="K262" s="3" t="s">
        <v>5641</v>
      </c>
      <c r="L262" s="8" t="str">
        <f>HYPERLINK("http://slimages.macys.com/is/image/MCY/15953887 ")</f>
        <v xml:space="preserve">http://slimages.macys.com/is/image/MCY/15953887 </v>
      </c>
    </row>
    <row r="263" spans="1:12" ht="24.75" x14ac:dyDescent="0.25">
      <c r="A263" s="6" t="s">
        <v>1859</v>
      </c>
      <c r="B263" s="3" t="s">
        <v>2205</v>
      </c>
      <c r="C263" s="4">
        <v>1</v>
      </c>
      <c r="D263" s="5">
        <v>36.99</v>
      </c>
      <c r="E263" s="4" t="s">
        <v>2206</v>
      </c>
      <c r="F263" s="3" t="s">
        <v>5566</v>
      </c>
      <c r="G263" s="7"/>
      <c r="H263" s="3" t="s">
        <v>6026</v>
      </c>
      <c r="I263" s="3" t="s">
        <v>6027</v>
      </c>
      <c r="J263" s="3" t="s">
        <v>5536</v>
      </c>
      <c r="K263" s="3" t="s">
        <v>5641</v>
      </c>
      <c r="L263" s="8" t="str">
        <f>HYPERLINK("http://slimages.macys.com/is/image/MCY/15953887 ")</f>
        <v xml:space="preserve">http://slimages.macys.com/is/image/MCY/15953887 </v>
      </c>
    </row>
    <row r="264" spans="1:12" ht="24.75" x14ac:dyDescent="0.25">
      <c r="A264" s="6" t="s">
        <v>1860</v>
      </c>
      <c r="B264" s="3" t="s">
        <v>6034</v>
      </c>
      <c r="C264" s="4">
        <v>2</v>
      </c>
      <c r="D264" s="5">
        <v>73.98</v>
      </c>
      <c r="E264" s="4" t="s">
        <v>2208</v>
      </c>
      <c r="F264" s="3" t="s">
        <v>5566</v>
      </c>
      <c r="G264" s="7" t="s">
        <v>6025</v>
      </c>
      <c r="H264" s="3" t="s">
        <v>6026</v>
      </c>
      <c r="I264" s="3" t="s">
        <v>6027</v>
      </c>
      <c r="J264" s="3" t="s">
        <v>5536</v>
      </c>
      <c r="K264" s="3" t="s">
        <v>5641</v>
      </c>
      <c r="L264" s="8" t="str">
        <f>HYPERLINK("http://slimages.macys.com/is/image/MCY/15796746 ")</f>
        <v xml:space="preserve">http://slimages.macys.com/is/image/MCY/15796746 </v>
      </c>
    </row>
    <row r="265" spans="1:12" ht="24.75" x14ac:dyDescent="0.25">
      <c r="A265" s="6" t="s">
        <v>1861</v>
      </c>
      <c r="B265" s="3" t="s">
        <v>6034</v>
      </c>
      <c r="C265" s="4">
        <v>1</v>
      </c>
      <c r="D265" s="5">
        <v>36.99</v>
      </c>
      <c r="E265" s="4" t="s">
        <v>2208</v>
      </c>
      <c r="F265" s="3" t="s">
        <v>5566</v>
      </c>
      <c r="G265" s="7"/>
      <c r="H265" s="3" t="s">
        <v>6026</v>
      </c>
      <c r="I265" s="3" t="s">
        <v>6027</v>
      </c>
      <c r="J265" s="3" t="s">
        <v>5536</v>
      </c>
      <c r="K265" s="3" t="s">
        <v>5641</v>
      </c>
      <c r="L265" s="8" t="str">
        <f>HYPERLINK("http://slimages.macys.com/is/image/MCY/15796746 ")</f>
        <v xml:space="preserve">http://slimages.macys.com/is/image/MCY/15796746 </v>
      </c>
    </row>
    <row r="266" spans="1:12" ht="24.75" x14ac:dyDescent="0.25">
      <c r="A266" s="6" t="s">
        <v>1862</v>
      </c>
      <c r="B266" s="3" t="s">
        <v>6034</v>
      </c>
      <c r="C266" s="4">
        <v>1</v>
      </c>
      <c r="D266" s="5">
        <v>36.99</v>
      </c>
      <c r="E266" s="4" t="s">
        <v>2208</v>
      </c>
      <c r="F266" s="3" t="s">
        <v>5566</v>
      </c>
      <c r="G266" s="7" t="s">
        <v>5768</v>
      </c>
      <c r="H266" s="3" t="s">
        <v>6026</v>
      </c>
      <c r="I266" s="3" t="s">
        <v>6027</v>
      </c>
      <c r="J266" s="3" t="s">
        <v>5536</v>
      </c>
      <c r="K266" s="3" t="s">
        <v>5641</v>
      </c>
      <c r="L266" s="8" t="str">
        <f>HYPERLINK("http://slimages.macys.com/is/image/MCY/15796746 ")</f>
        <v xml:space="preserve">http://slimages.macys.com/is/image/MCY/15796746 </v>
      </c>
    </row>
    <row r="267" spans="1:12" ht="24.75" x14ac:dyDescent="0.25">
      <c r="A267" s="6" t="s">
        <v>1863</v>
      </c>
      <c r="B267" s="3" t="s">
        <v>6023</v>
      </c>
      <c r="C267" s="4">
        <v>1</v>
      </c>
      <c r="D267" s="5">
        <v>36.99</v>
      </c>
      <c r="E267" s="4" t="s">
        <v>6024</v>
      </c>
      <c r="F267" s="3" t="s">
        <v>5625</v>
      </c>
      <c r="G267" s="7"/>
      <c r="H267" s="3" t="s">
        <v>6026</v>
      </c>
      <c r="I267" s="3" t="s">
        <v>6027</v>
      </c>
      <c r="J267" s="3" t="s">
        <v>5536</v>
      </c>
      <c r="K267" s="3" t="s">
        <v>5641</v>
      </c>
      <c r="L267" s="8" t="str">
        <f>HYPERLINK("http://slimages.macys.com/is/image/MCY/16260743 ")</f>
        <v xml:space="preserve">http://slimages.macys.com/is/image/MCY/16260743 </v>
      </c>
    </row>
    <row r="268" spans="1:12" ht="24.75" x14ac:dyDescent="0.25">
      <c r="A268" s="6" t="s">
        <v>2216</v>
      </c>
      <c r="B268" s="3" t="s">
        <v>2217</v>
      </c>
      <c r="C268" s="4">
        <v>1</v>
      </c>
      <c r="D268" s="5">
        <v>35.99</v>
      </c>
      <c r="E268" s="4" t="s">
        <v>2218</v>
      </c>
      <c r="F268" s="3" t="s">
        <v>5540</v>
      </c>
      <c r="G268" s="7" t="s">
        <v>6862</v>
      </c>
      <c r="H268" s="3" t="s">
        <v>5892</v>
      </c>
      <c r="I268" s="3" t="s">
        <v>5893</v>
      </c>
      <c r="J268" s="3" t="s">
        <v>5536</v>
      </c>
      <c r="K268" s="3" t="s">
        <v>5574</v>
      </c>
      <c r="L268" s="8" t="str">
        <f>HYPERLINK("http://slimages.macys.com/is/image/MCY/14565202 ")</f>
        <v xml:space="preserve">http://slimages.macys.com/is/image/MCY/14565202 </v>
      </c>
    </row>
    <row r="269" spans="1:12" ht="24.75" x14ac:dyDescent="0.25">
      <c r="A269" s="6" t="s">
        <v>1864</v>
      </c>
      <c r="B269" s="3" t="s">
        <v>6023</v>
      </c>
      <c r="C269" s="4">
        <v>1</v>
      </c>
      <c r="D269" s="5">
        <v>36.99</v>
      </c>
      <c r="E269" s="4" t="s">
        <v>6024</v>
      </c>
      <c r="F269" s="3" t="s">
        <v>5625</v>
      </c>
      <c r="G269" s="7" t="s">
        <v>5835</v>
      </c>
      <c r="H269" s="3" t="s">
        <v>6026</v>
      </c>
      <c r="I269" s="3" t="s">
        <v>6027</v>
      </c>
      <c r="J269" s="3" t="s">
        <v>5536</v>
      </c>
      <c r="K269" s="3" t="s">
        <v>5641</v>
      </c>
      <c r="L269" s="8" t="str">
        <f>HYPERLINK("http://slimages.macys.com/is/image/MCY/16260743 ")</f>
        <v xml:space="preserve">http://slimages.macys.com/is/image/MCY/16260743 </v>
      </c>
    </row>
    <row r="270" spans="1:12" ht="24.75" x14ac:dyDescent="0.25">
      <c r="A270" s="6" t="s">
        <v>1865</v>
      </c>
      <c r="B270" s="3" t="s">
        <v>6045</v>
      </c>
      <c r="C270" s="4">
        <v>1</v>
      </c>
      <c r="D270" s="5">
        <v>36.99</v>
      </c>
      <c r="E270" s="4" t="s">
        <v>6046</v>
      </c>
      <c r="F270" s="3" t="s">
        <v>5604</v>
      </c>
      <c r="G270" s="7"/>
      <c r="H270" s="3" t="s">
        <v>6026</v>
      </c>
      <c r="I270" s="3" t="s">
        <v>6027</v>
      </c>
      <c r="J270" s="3" t="s">
        <v>5536</v>
      </c>
      <c r="K270" s="3" t="s">
        <v>5641</v>
      </c>
      <c r="L270" s="8" t="str">
        <f>HYPERLINK("http://slimages.macys.com/is/image/MCY/14722493 ")</f>
        <v xml:space="preserve">http://slimages.macys.com/is/image/MCY/14722493 </v>
      </c>
    </row>
    <row r="271" spans="1:12" ht="24.75" x14ac:dyDescent="0.25">
      <c r="A271" s="6" t="s">
        <v>1866</v>
      </c>
      <c r="B271" s="3" t="s">
        <v>6045</v>
      </c>
      <c r="C271" s="4">
        <v>1</v>
      </c>
      <c r="D271" s="5">
        <v>36.99</v>
      </c>
      <c r="E271" s="4" t="s">
        <v>6046</v>
      </c>
      <c r="F271" s="3" t="s">
        <v>5604</v>
      </c>
      <c r="G271" s="7" t="s">
        <v>5766</v>
      </c>
      <c r="H271" s="3" t="s">
        <v>6026</v>
      </c>
      <c r="I271" s="3" t="s">
        <v>6027</v>
      </c>
      <c r="J271" s="3" t="s">
        <v>5536</v>
      </c>
      <c r="K271" s="3" t="s">
        <v>5641</v>
      </c>
      <c r="L271" s="8" t="str">
        <f>HYPERLINK("http://slimages.macys.com/is/image/MCY/14722493 ")</f>
        <v xml:space="preserve">http://slimages.macys.com/is/image/MCY/14722493 </v>
      </c>
    </row>
    <row r="272" spans="1:12" ht="24.75" x14ac:dyDescent="0.25">
      <c r="A272" s="6" t="s">
        <v>1867</v>
      </c>
      <c r="B272" s="3" t="s">
        <v>6034</v>
      </c>
      <c r="C272" s="4">
        <v>5</v>
      </c>
      <c r="D272" s="5">
        <v>184.95</v>
      </c>
      <c r="E272" s="4" t="s">
        <v>2208</v>
      </c>
      <c r="F272" s="3" t="s">
        <v>5566</v>
      </c>
      <c r="G272" s="7"/>
      <c r="H272" s="3" t="s">
        <v>6026</v>
      </c>
      <c r="I272" s="3" t="s">
        <v>6027</v>
      </c>
      <c r="J272" s="3" t="s">
        <v>5536</v>
      </c>
      <c r="K272" s="3" t="s">
        <v>5641</v>
      </c>
      <c r="L272" s="8" t="str">
        <f>HYPERLINK("http://slimages.macys.com/is/image/MCY/15796746 ")</f>
        <v xml:space="preserve">http://slimages.macys.com/is/image/MCY/15796746 </v>
      </c>
    </row>
    <row r="273" spans="1:12" ht="24.75" x14ac:dyDescent="0.25">
      <c r="A273" s="6" t="s">
        <v>1868</v>
      </c>
      <c r="B273" s="3" t="s">
        <v>6045</v>
      </c>
      <c r="C273" s="4">
        <v>1</v>
      </c>
      <c r="D273" s="5">
        <v>36.99</v>
      </c>
      <c r="E273" s="4" t="s">
        <v>6046</v>
      </c>
      <c r="F273" s="3" t="s">
        <v>5604</v>
      </c>
      <c r="G273" s="7"/>
      <c r="H273" s="3" t="s">
        <v>6026</v>
      </c>
      <c r="I273" s="3" t="s">
        <v>6027</v>
      </c>
      <c r="J273" s="3" t="s">
        <v>5536</v>
      </c>
      <c r="K273" s="3" t="s">
        <v>5641</v>
      </c>
      <c r="L273" s="8" t="str">
        <f>HYPERLINK("http://slimages.macys.com/is/image/MCY/14722493 ")</f>
        <v xml:space="preserve">http://slimages.macys.com/is/image/MCY/14722493 </v>
      </c>
    </row>
    <row r="274" spans="1:12" ht="24.75" x14ac:dyDescent="0.25">
      <c r="A274" s="6" t="s">
        <v>6044</v>
      </c>
      <c r="B274" s="3" t="s">
        <v>6045</v>
      </c>
      <c r="C274" s="4">
        <v>1</v>
      </c>
      <c r="D274" s="5">
        <v>36.99</v>
      </c>
      <c r="E274" s="4" t="s">
        <v>6046</v>
      </c>
      <c r="F274" s="3" t="s">
        <v>5604</v>
      </c>
      <c r="G274" s="7" t="s">
        <v>5764</v>
      </c>
      <c r="H274" s="3" t="s">
        <v>6026</v>
      </c>
      <c r="I274" s="3" t="s">
        <v>6027</v>
      </c>
      <c r="J274" s="3" t="s">
        <v>5536</v>
      </c>
      <c r="K274" s="3" t="s">
        <v>5641</v>
      </c>
      <c r="L274" s="8" t="str">
        <f>HYPERLINK("http://slimages.macys.com/is/image/MCY/14722493 ")</f>
        <v xml:space="preserve">http://slimages.macys.com/is/image/MCY/14722493 </v>
      </c>
    </row>
    <row r="275" spans="1:12" ht="24.75" x14ac:dyDescent="0.25">
      <c r="A275" s="6" t="s">
        <v>903</v>
      </c>
      <c r="B275" s="3" t="s">
        <v>6023</v>
      </c>
      <c r="C275" s="4">
        <v>1</v>
      </c>
      <c r="D275" s="5">
        <v>36.99</v>
      </c>
      <c r="E275" s="4" t="s">
        <v>6024</v>
      </c>
      <c r="F275" s="3" t="s">
        <v>5625</v>
      </c>
      <c r="G275" s="7" t="s">
        <v>5760</v>
      </c>
      <c r="H275" s="3" t="s">
        <v>6026</v>
      </c>
      <c r="I275" s="3" t="s">
        <v>6027</v>
      </c>
      <c r="J275" s="3" t="s">
        <v>5536</v>
      </c>
      <c r="K275" s="3" t="s">
        <v>5641</v>
      </c>
      <c r="L275" s="8" t="str">
        <f>HYPERLINK("http://slimages.macys.com/is/image/MCY/16260743 ")</f>
        <v xml:space="preserve">http://slimages.macys.com/is/image/MCY/16260743 </v>
      </c>
    </row>
    <row r="276" spans="1:12" ht="24.75" x14ac:dyDescent="0.25">
      <c r="A276" s="6" t="s">
        <v>6022</v>
      </c>
      <c r="B276" s="3" t="s">
        <v>6023</v>
      </c>
      <c r="C276" s="4">
        <v>1</v>
      </c>
      <c r="D276" s="5">
        <v>36.99</v>
      </c>
      <c r="E276" s="4" t="s">
        <v>6024</v>
      </c>
      <c r="F276" s="3" t="s">
        <v>5625</v>
      </c>
      <c r="G276" s="7" t="s">
        <v>6025</v>
      </c>
      <c r="H276" s="3" t="s">
        <v>6026</v>
      </c>
      <c r="I276" s="3" t="s">
        <v>6027</v>
      </c>
      <c r="J276" s="3" t="s">
        <v>5536</v>
      </c>
      <c r="K276" s="3" t="s">
        <v>5641</v>
      </c>
      <c r="L276" s="8" t="str">
        <f>HYPERLINK("http://slimages.macys.com/is/image/MCY/16260743 ")</f>
        <v xml:space="preserve">http://slimages.macys.com/is/image/MCY/16260743 </v>
      </c>
    </row>
    <row r="277" spans="1:12" ht="24.75" x14ac:dyDescent="0.25">
      <c r="A277" s="6" t="s">
        <v>6030</v>
      </c>
      <c r="B277" s="3" t="s">
        <v>6023</v>
      </c>
      <c r="C277" s="4">
        <v>1</v>
      </c>
      <c r="D277" s="5">
        <v>36.99</v>
      </c>
      <c r="E277" s="4" t="s">
        <v>6024</v>
      </c>
      <c r="F277" s="3" t="s">
        <v>5625</v>
      </c>
      <c r="G277" s="7" t="s">
        <v>5764</v>
      </c>
      <c r="H277" s="3" t="s">
        <v>6026</v>
      </c>
      <c r="I277" s="3" t="s">
        <v>6027</v>
      </c>
      <c r="J277" s="3" t="s">
        <v>5536</v>
      </c>
      <c r="K277" s="3" t="s">
        <v>5641</v>
      </c>
      <c r="L277" s="8" t="str">
        <f>HYPERLINK("http://slimages.macys.com/is/image/MCY/16260743 ")</f>
        <v xml:space="preserve">http://slimages.macys.com/is/image/MCY/16260743 </v>
      </c>
    </row>
    <row r="278" spans="1:12" ht="24.75" x14ac:dyDescent="0.25">
      <c r="A278" s="6" t="s">
        <v>6031</v>
      </c>
      <c r="B278" s="3" t="s">
        <v>6023</v>
      </c>
      <c r="C278" s="4">
        <v>1</v>
      </c>
      <c r="D278" s="5">
        <v>36.99</v>
      </c>
      <c r="E278" s="4" t="s">
        <v>6024</v>
      </c>
      <c r="F278" s="3" t="s">
        <v>5625</v>
      </c>
      <c r="G278" s="7"/>
      <c r="H278" s="3" t="s">
        <v>6026</v>
      </c>
      <c r="I278" s="3" t="s">
        <v>6027</v>
      </c>
      <c r="J278" s="3" t="s">
        <v>5536</v>
      </c>
      <c r="K278" s="3" t="s">
        <v>5641</v>
      </c>
      <c r="L278" s="8" t="str">
        <f>HYPERLINK("http://slimages.macys.com/is/image/MCY/16260743 ")</f>
        <v xml:space="preserve">http://slimages.macys.com/is/image/MCY/16260743 </v>
      </c>
    </row>
    <row r="279" spans="1:12" x14ac:dyDescent="0.25">
      <c r="A279" s="6" t="s">
        <v>6047</v>
      </c>
      <c r="B279" s="3" t="s">
        <v>6048</v>
      </c>
      <c r="C279" s="4">
        <v>1</v>
      </c>
      <c r="D279" s="5">
        <v>34.99</v>
      </c>
      <c r="E279" s="4" t="s">
        <v>6049</v>
      </c>
      <c r="F279" s="3" t="s">
        <v>5625</v>
      </c>
      <c r="G279" s="7" t="s">
        <v>5596</v>
      </c>
      <c r="H279" s="3" t="s">
        <v>6003</v>
      </c>
      <c r="I279" s="3" t="s">
        <v>6004</v>
      </c>
      <c r="J279" s="3" t="s">
        <v>5536</v>
      </c>
      <c r="K279" s="3" t="s">
        <v>6021</v>
      </c>
      <c r="L279" s="8" t="str">
        <f>HYPERLINK("http://slimages.macys.com/is/image/MCY/10293526 ")</f>
        <v xml:space="preserve">http://slimages.macys.com/is/image/MCY/10293526 </v>
      </c>
    </row>
    <row r="280" spans="1:12" x14ac:dyDescent="0.25">
      <c r="A280" s="6" t="s">
        <v>1869</v>
      </c>
      <c r="B280" s="3" t="s">
        <v>1870</v>
      </c>
      <c r="C280" s="4">
        <v>1</v>
      </c>
      <c r="D280" s="5">
        <v>34.99</v>
      </c>
      <c r="E280" s="4">
        <v>100003865</v>
      </c>
      <c r="F280" s="3" t="s">
        <v>6075</v>
      </c>
      <c r="G280" s="7" t="s">
        <v>5596</v>
      </c>
      <c r="H280" s="3" t="s">
        <v>6003</v>
      </c>
      <c r="I280" s="3" t="s">
        <v>6004</v>
      </c>
      <c r="J280" s="3" t="s">
        <v>5536</v>
      </c>
      <c r="K280" s="3" t="s">
        <v>5594</v>
      </c>
      <c r="L280" s="8" t="str">
        <f>HYPERLINK("http://slimages.macys.com/is/image/MCY/8993523 ")</f>
        <v xml:space="preserve">http://slimages.macys.com/is/image/MCY/8993523 </v>
      </c>
    </row>
    <row r="281" spans="1:12" x14ac:dyDescent="0.25">
      <c r="A281" s="6" t="s">
        <v>1871</v>
      </c>
      <c r="B281" s="3" t="s">
        <v>1872</v>
      </c>
      <c r="C281" s="4">
        <v>1</v>
      </c>
      <c r="D281" s="5">
        <v>59.5</v>
      </c>
      <c r="E281" s="4">
        <v>100066560</v>
      </c>
      <c r="F281" s="3" t="s">
        <v>5745</v>
      </c>
      <c r="G281" s="7" t="s">
        <v>5596</v>
      </c>
      <c r="H281" s="3" t="s">
        <v>5585</v>
      </c>
      <c r="I281" s="3" t="s">
        <v>5734</v>
      </c>
      <c r="J281" s="3" t="s">
        <v>5536</v>
      </c>
      <c r="K281" s="3" t="s">
        <v>5594</v>
      </c>
      <c r="L281" s="8" t="str">
        <f>HYPERLINK("http://slimages.macys.com/is/image/MCY/14322345 ")</f>
        <v xml:space="preserve">http://slimages.macys.com/is/image/MCY/14322345 </v>
      </c>
    </row>
    <row r="282" spans="1:12" x14ac:dyDescent="0.25">
      <c r="A282" s="6" t="s">
        <v>1873</v>
      </c>
      <c r="B282" s="3" t="s">
        <v>1872</v>
      </c>
      <c r="C282" s="4">
        <v>1</v>
      </c>
      <c r="D282" s="5">
        <v>59.5</v>
      </c>
      <c r="E282" s="4">
        <v>100066560</v>
      </c>
      <c r="F282" s="3" t="s">
        <v>5977</v>
      </c>
      <c r="G282" s="7" t="s">
        <v>5598</v>
      </c>
      <c r="H282" s="3" t="s">
        <v>5585</v>
      </c>
      <c r="I282" s="3" t="s">
        <v>5734</v>
      </c>
      <c r="J282" s="3" t="s">
        <v>5536</v>
      </c>
      <c r="K282" s="3" t="s">
        <v>5594</v>
      </c>
      <c r="L282" s="8" t="str">
        <f>HYPERLINK("http://slimages.macys.com/is/image/MCY/14322345 ")</f>
        <v xml:space="preserve">http://slimages.macys.com/is/image/MCY/14322345 </v>
      </c>
    </row>
    <row r="283" spans="1:12" x14ac:dyDescent="0.25">
      <c r="A283" s="6" t="s">
        <v>1874</v>
      </c>
      <c r="B283" s="3" t="s">
        <v>1875</v>
      </c>
      <c r="C283" s="4">
        <v>1</v>
      </c>
      <c r="D283" s="5">
        <v>49.5</v>
      </c>
      <c r="E283" s="4">
        <v>100053445</v>
      </c>
      <c r="F283" s="3" t="s">
        <v>5578</v>
      </c>
      <c r="G283" s="7" t="s">
        <v>5582</v>
      </c>
      <c r="H283" s="3" t="s">
        <v>5585</v>
      </c>
      <c r="I283" s="3" t="s">
        <v>5734</v>
      </c>
      <c r="J283" s="3" t="s">
        <v>5536</v>
      </c>
      <c r="K283" s="3" t="s">
        <v>5594</v>
      </c>
      <c r="L283" s="8" t="str">
        <f>HYPERLINK("http://slimages.macys.com/is/image/MCY/13121964 ")</f>
        <v xml:space="preserve">http://slimages.macys.com/is/image/MCY/13121964 </v>
      </c>
    </row>
    <row r="284" spans="1:12" x14ac:dyDescent="0.25">
      <c r="A284" s="6" t="s">
        <v>1876</v>
      </c>
      <c r="B284" s="3" t="s">
        <v>6052</v>
      </c>
      <c r="C284" s="4">
        <v>1</v>
      </c>
      <c r="D284" s="5">
        <v>44.99</v>
      </c>
      <c r="E284" s="4" t="s">
        <v>6053</v>
      </c>
      <c r="F284" s="3" t="s">
        <v>7010</v>
      </c>
      <c r="G284" s="7" t="s">
        <v>5560</v>
      </c>
      <c r="H284" s="3" t="s">
        <v>5978</v>
      </c>
      <c r="I284" s="3" t="s">
        <v>5979</v>
      </c>
      <c r="J284" s="3" t="s">
        <v>5536</v>
      </c>
      <c r="K284" s="3" t="s">
        <v>5553</v>
      </c>
      <c r="L284" s="8" t="str">
        <f>HYPERLINK("http://slimages.macys.com/is/image/MCY/14335950 ")</f>
        <v xml:space="preserve">http://slimages.macys.com/is/image/MCY/14335950 </v>
      </c>
    </row>
    <row r="285" spans="1:12" x14ac:dyDescent="0.25">
      <c r="A285" s="6" t="s">
        <v>1877</v>
      </c>
      <c r="B285" s="3" t="s">
        <v>6052</v>
      </c>
      <c r="C285" s="4">
        <v>1</v>
      </c>
      <c r="D285" s="5">
        <v>44.99</v>
      </c>
      <c r="E285" s="4" t="s">
        <v>6053</v>
      </c>
      <c r="F285" s="3" t="s">
        <v>5578</v>
      </c>
      <c r="G285" s="7" t="s">
        <v>5598</v>
      </c>
      <c r="H285" s="3" t="s">
        <v>5978</v>
      </c>
      <c r="I285" s="3" t="s">
        <v>5979</v>
      </c>
      <c r="J285" s="3" t="s">
        <v>5536</v>
      </c>
      <c r="K285" s="3" t="s">
        <v>5553</v>
      </c>
      <c r="L285" s="8" t="str">
        <f>HYPERLINK("http://slimages.macys.com/is/image/MCY/14335950 ")</f>
        <v xml:space="preserve">http://slimages.macys.com/is/image/MCY/14335950 </v>
      </c>
    </row>
    <row r="286" spans="1:12" x14ac:dyDescent="0.25">
      <c r="A286" s="6" t="s">
        <v>1878</v>
      </c>
      <c r="B286" s="3" t="s">
        <v>1879</v>
      </c>
      <c r="C286" s="4">
        <v>1</v>
      </c>
      <c r="D286" s="5">
        <v>39.99</v>
      </c>
      <c r="E286" s="4" t="s">
        <v>1880</v>
      </c>
      <c r="F286" s="3" t="s">
        <v>5578</v>
      </c>
      <c r="G286" s="7" t="s">
        <v>5598</v>
      </c>
      <c r="H286" s="3" t="s">
        <v>6003</v>
      </c>
      <c r="I286" s="3" t="s">
        <v>6004</v>
      </c>
      <c r="J286" s="3" t="s">
        <v>5536</v>
      </c>
      <c r="K286" s="3" t="s">
        <v>5594</v>
      </c>
      <c r="L286" s="8" t="str">
        <f>HYPERLINK("http://slimages.macys.com/is/image/MCY/14358584 ")</f>
        <v xml:space="preserve">http://slimages.macys.com/is/image/MCY/14358584 </v>
      </c>
    </row>
    <row r="287" spans="1:12" x14ac:dyDescent="0.25">
      <c r="A287" s="6" t="s">
        <v>1881</v>
      </c>
      <c r="B287" s="3" t="s">
        <v>1882</v>
      </c>
      <c r="C287" s="4">
        <v>1</v>
      </c>
      <c r="D287" s="5">
        <v>34.99</v>
      </c>
      <c r="E287" s="4" t="s">
        <v>1883</v>
      </c>
      <c r="F287" s="3" t="s">
        <v>5532</v>
      </c>
      <c r="G287" s="7" t="s">
        <v>5560</v>
      </c>
      <c r="H287" s="3" t="s">
        <v>6003</v>
      </c>
      <c r="I287" s="3" t="s">
        <v>6004</v>
      </c>
      <c r="J287" s="3" t="s">
        <v>5536</v>
      </c>
      <c r="K287" s="3" t="s">
        <v>6021</v>
      </c>
      <c r="L287" s="8" t="str">
        <f>HYPERLINK("http://slimages.macys.com/is/image/MCY/10351991 ")</f>
        <v xml:space="preserve">http://slimages.macys.com/is/image/MCY/10351991 </v>
      </c>
    </row>
    <row r="288" spans="1:12" ht="24.75" x14ac:dyDescent="0.25">
      <c r="A288" s="6" t="s">
        <v>1884</v>
      </c>
      <c r="B288" s="3" t="s">
        <v>1885</v>
      </c>
      <c r="C288" s="4">
        <v>1</v>
      </c>
      <c r="D288" s="5">
        <v>30</v>
      </c>
      <c r="E288" s="4" t="s">
        <v>1886</v>
      </c>
      <c r="F288" s="3" t="s">
        <v>5532</v>
      </c>
      <c r="G288" s="7" t="s">
        <v>5533</v>
      </c>
      <c r="H288" s="3" t="s">
        <v>4819</v>
      </c>
      <c r="I288" s="3" t="s">
        <v>4820</v>
      </c>
      <c r="J288" s="3" t="s">
        <v>5536</v>
      </c>
      <c r="K288" s="3" t="s">
        <v>5727</v>
      </c>
      <c r="L288" s="8" t="str">
        <f>HYPERLINK("http://slimages.macys.com/is/image/MCY/11555964 ")</f>
        <v xml:space="preserve">http://slimages.macys.com/is/image/MCY/11555964 </v>
      </c>
    </row>
    <row r="289" spans="1:12" x14ac:dyDescent="0.25">
      <c r="A289" s="6" t="s">
        <v>1887</v>
      </c>
      <c r="B289" s="3" t="s">
        <v>1882</v>
      </c>
      <c r="C289" s="4">
        <v>1</v>
      </c>
      <c r="D289" s="5">
        <v>34.99</v>
      </c>
      <c r="E289" s="4" t="s">
        <v>1883</v>
      </c>
      <c r="F289" s="3" t="s">
        <v>5532</v>
      </c>
      <c r="G289" s="7" t="s">
        <v>5533</v>
      </c>
      <c r="H289" s="3" t="s">
        <v>6003</v>
      </c>
      <c r="I289" s="3" t="s">
        <v>6004</v>
      </c>
      <c r="J289" s="3" t="s">
        <v>5536</v>
      </c>
      <c r="K289" s="3" t="s">
        <v>6021</v>
      </c>
      <c r="L289" s="8" t="str">
        <f>HYPERLINK("http://slimages.macys.com/is/image/MCY/10351991 ")</f>
        <v xml:space="preserve">http://slimages.macys.com/is/image/MCY/10351991 </v>
      </c>
    </row>
    <row r="290" spans="1:12" ht="24.75" x14ac:dyDescent="0.25">
      <c r="A290" s="6" t="s">
        <v>1888</v>
      </c>
      <c r="B290" s="3" t="s">
        <v>1889</v>
      </c>
      <c r="C290" s="4">
        <v>1</v>
      </c>
      <c r="D290" s="5">
        <v>50</v>
      </c>
      <c r="E290" s="4">
        <v>10008066800</v>
      </c>
      <c r="F290" s="3" t="s">
        <v>5566</v>
      </c>
      <c r="G290" s="7" t="s">
        <v>5560</v>
      </c>
      <c r="H290" s="3" t="s">
        <v>3941</v>
      </c>
      <c r="I290" s="3" t="s">
        <v>3942</v>
      </c>
      <c r="J290" s="3" t="s">
        <v>5536</v>
      </c>
      <c r="K290" s="3" t="s">
        <v>5727</v>
      </c>
      <c r="L290" s="8" t="str">
        <f>HYPERLINK("http://slimages.macys.com/is/image/MCY/15671532 ")</f>
        <v xml:space="preserve">http://slimages.macys.com/is/image/MCY/15671532 </v>
      </c>
    </row>
    <row r="291" spans="1:12" ht="24.75" x14ac:dyDescent="0.25">
      <c r="A291" s="6" t="s">
        <v>1890</v>
      </c>
      <c r="B291" s="3" t="s">
        <v>1891</v>
      </c>
      <c r="C291" s="4">
        <v>1</v>
      </c>
      <c r="D291" s="5">
        <v>54.99</v>
      </c>
      <c r="E291" s="4" t="s">
        <v>1892</v>
      </c>
      <c r="F291" s="3" t="s">
        <v>5556</v>
      </c>
      <c r="G291" s="7" t="s">
        <v>5562</v>
      </c>
      <c r="H291" s="3" t="s">
        <v>5978</v>
      </c>
      <c r="I291" s="3" t="s">
        <v>5979</v>
      </c>
      <c r="J291" s="3" t="s">
        <v>5536</v>
      </c>
      <c r="K291" s="3" t="s">
        <v>5980</v>
      </c>
      <c r="L291" s="8" t="str">
        <f>HYPERLINK("http://slimages.macys.com/is/image/MCY/15436522 ")</f>
        <v xml:space="preserve">http://slimages.macys.com/is/image/MCY/15436522 </v>
      </c>
    </row>
    <row r="292" spans="1:12" ht="24.75" x14ac:dyDescent="0.25">
      <c r="A292" s="6" t="s">
        <v>1893</v>
      </c>
      <c r="B292" s="3" t="s">
        <v>1891</v>
      </c>
      <c r="C292" s="4">
        <v>1</v>
      </c>
      <c r="D292" s="5">
        <v>54.99</v>
      </c>
      <c r="E292" s="4" t="s">
        <v>1892</v>
      </c>
      <c r="F292" s="3" t="s">
        <v>5556</v>
      </c>
      <c r="G292" s="7" t="s">
        <v>5598</v>
      </c>
      <c r="H292" s="3" t="s">
        <v>5978</v>
      </c>
      <c r="I292" s="3" t="s">
        <v>5979</v>
      </c>
      <c r="J292" s="3" t="s">
        <v>5536</v>
      </c>
      <c r="K292" s="3" t="s">
        <v>5980</v>
      </c>
      <c r="L292" s="8" t="str">
        <f>HYPERLINK("http://slimages.macys.com/is/image/MCY/15436522 ")</f>
        <v xml:space="preserve">http://slimages.macys.com/is/image/MCY/15436522 </v>
      </c>
    </row>
    <row r="293" spans="1:12" x14ac:dyDescent="0.25">
      <c r="A293" s="6" t="s">
        <v>1894</v>
      </c>
      <c r="B293" s="3" t="s">
        <v>1895</v>
      </c>
      <c r="C293" s="4">
        <v>1</v>
      </c>
      <c r="D293" s="5">
        <v>59.5</v>
      </c>
      <c r="E293" s="4">
        <v>100057431</v>
      </c>
      <c r="F293" s="3" t="s">
        <v>5556</v>
      </c>
      <c r="G293" s="7" t="s">
        <v>5579</v>
      </c>
      <c r="H293" s="3" t="s">
        <v>5585</v>
      </c>
      <c r="I293" s="3" t="s">
        <v>5586</v>
      </c>
      <c r="J293" s="3" t="s">
        <v>5536</v>
      </c>
      <c r="K293" s="3" t="s">
        <v>1079</v>
      </c>
      <c r="L293" s="8" t="str">
        <f>HYPERLINK("http://slimages.macys.com/is/image/MCY/12289175 ")</f>
        <v xml:space="preserve">http://slimages.macys.com/is/image/MCY/12289175 </v>
      </c>
    </row>
    <row r="294" spans="1:12" x14ac:dyDescent="0.25">
      <c r="A294" s="6" t="s">
        <v>1896</v>
      </c>
      <c r="B294" s="3" t="s">
        <v>1897</v>
      </c>
      <c r="C294" s="4">
        <v>1</v>
      </c>
      <c r="D294" s="5">
        <v>27.99</v>
      </c>
      <c r="E294" s="4">
        <v>1736041</v>
      </c>
      <c r="F294" s="3" t="s">
        <v>5793</v>
      </c>
      <c r="G294" s="7" t="s">
        <v>5596</v>
      </c>
      <c r="H294" s="3" t="s">
        <v>5929</v>
      </c>
      <c r="I294" s="3" t="s">
        <v>5930</v>
      </c>
      <c r="J294" s="3" t="s">
        <v>5536</v>
      </c>
      <c r="K294" s="3" t="s">
        <v>5727</v>
      </c>
      <c r="L294" s="8" t="str">
        <f>HYPERLINK("http://slimages.macys.com/is/image/MCY/9706522 ")</f>
        <v xml:space="preserve">http://slimages.macys.com/is/image/MCY/9706522 </v>
      </c>
    </row>
    <row r="295" spans="1:12" x14ac:dyDescent="0.25">
      <c r="A295" s="6" t="s">
        <v>1898</v>
      </c>
      <c r="B295" s="3" t="s">
        <v>1899</v>
      </c>
      <c r="C295" s="4">
        <v>1</v>
      </c>
      <c r="D295" s="5">
        <v>37.99</v>
      </c>
      <c r="E295" s="4" t="s">
        <v>1900</v>
      </c>
      <c r="F295" s="3" t="s">
        <v>5552</v>
      </c>
      <c r="G295" s="7" t="s">
        <v>5598</v>
      </c>
      <c r="H295" s="3" t="s">
        <v>6065</v>
      </c>
      <c r="I295" s="3" t="s">
        <v>6066</v>
      </c>
      <c r="J295" s="3" t="s">
        <v>5536</v>
      </c>
      <c r="K295" s="3" t="s">
        <v>5594</v>
      </c>
      <c r="L295" s="8" t="str">
        <f>HYPERLINK("http://slimages.macys.com/is/image/MCY/14381840 ")</f>
        <v xml:space="preserve">http://slimages.macys.com/is/image/MCY/14381840 </v>
      </c>
    </row>
    <row r="296" spans="1:12" ht="72.75" x14ac:dyDescent="0.25">
      <c r="A296" s="6" t="s">
        <v>1901</v>
      </c>
      <c r="B296" s="3" t="s">
        <v>1902</v>
      </c>
      <c r="C296" s="4">
        <v>1</v>
      </c>
      <c r="D296" s="5">
        <v>24.99</v>
      </c>
      <c r="E296" s="4">
        <v>1257469</v>
      </c>
      <c r="F296" s="3" t="s">
        <v>5625</v>
      </c>
      <c r="G296" s="7" t="s">
        <v>5582</v>
      </c>
      <c r="H296" s="3" t="s">
        <v>5726</v>
      </c>
      <c r="I296" s="3" t="s">
        <v>5726</v>
      </c>
      <c r="J296" s="3" t="s">
        <v>5536</v>
      </c>
      <c r="K296" s="3" t="s">
        <v>1903</v>
      </c>
      <c r="L296" s="8" t="str">
        <f>HYPERLINK("http://slimages.macys.com/is/image/MCY/8553953 ")</f>
        <v xml:space="preserve">http://slimages.macys.com/is/image/MCY/8553953 </v>
      </c>
    </row>
    <row r="297" spans="1:12" ht="72.75" x14ac:dyDescent="0.25">
      <c r="A297" s="6" t="s">
        <v>1904</v>
      </c>
      <c r="B297" s="3" t="s">
        <v>1902</v>
      </c>
      <c r="C297" s="4">
        <v>1</v>
      </c>
      <c r="D297" s="5">
        <v>24.99</v>
      </c>
      <c r="E297" s="4">
        <v>1257469</v>
      </c>
      <c r="F297" s="3" t="s">
        <v>5783</v>
      </c>
      <c r="G297" s="7" t="s">
        <v>5582</v>
      </c>
      <c r="H297" s="3" t="s">
        <v>5726</v>
      </c>
      <c r="I297" s="3" t="s">
        <v>5726</v>
      </c>
      <c r="J297" s="3" t="s">
        <v>5536</v>
      </c>
      <c r="K297" s="3" t="s">
        <v>1903</v>
      </c>
      <c r="L297" s="8" t="str">
        <f>HYPERLINK("http://slimages.macys.com/is/image/MCY/8553953 ")</f>
        <v xml:space="preserve">http://slimages.macys.com/is/image/MCY/8553953 </v>
      </c>
    </row>
    <row r="298" spans="1:12" x14ac:dyDescent="0.25">
      <c r="A298" s="6" t="s">
        <v>1905</v>
      </c>
      <c r="B298" s="3" t="s">
        <v>1906</v>
      </c>
      <c r="C298" s="4">
        <v>2</v>
      </c>
      <c r="D298" s="5">
        <v>79.98</v>
      </c>
      <c r="E298" s="4" t="s">
        <v>1907</v>
      </c>
      <c r="F298" s="3" t="s">
        <v>5754</v>
      </c>
      <c r="G298" s="7" t="s">
        <v>5562</v>
      </c>
      <c r="H298" s="3" t="s">
        <v>6065</v>
      </c>
      <c r="I298" s="3" t="s">
        <v>6066</v>
      </c>
      <c r="J298" s="3" t="s">
        <v>5536</v>
      </c>
      <c r="K298" s="3" t="s">
        <v>5594</v>
      </c>
      <c r="L298" s="8" t="str">
        <f>HYPERLINK("http://slimages.macys.com/is/image/MCY/14825461 ")</f>
        <v xml:space="preserve">http://slimages.macys.com/is/image/MCY/14825461 </v>
      </c>
    </row>
    <row r="299" spans="1:12" ht="24.75" x14ac:dyDescent="0.25">
      <c r="A299" s="6" t="s">
        <v>1908</v>
      </c>
      <c r="B299" s="3" t="s">
        <v>1909</v>
      </c>
      <c r="C299" s="4">
        <v>1</v>
      </c>
      <c r="D299" s="5">
        <v>34.99</v>
      </c>
      <c r="E299" s="4" t="s">
        <v>1910</v>
      </c>
      <c r="F299" s="3" t="s">
        <v>5783</v>
      </c>
      <c r="G299" s="7" t="s">
        <v>5830</v>
      </c>
      <c r="H299" s="3" t="s">
        <v>6026</v>
      </c>
      <c r="I299" s="3" t="s">
        <v>1911</v>
      </c>
      <c r="J299" s="3" t="s">
        <v>5536</v>
      </c>
      <c r="K299" s="3" t="s">
        <v>5574</v>
      </c>
      <c r="L299" s="8" t="str">
        <f>HYPERLINK("http://slimages.macys.com/is/image/MCY/2959287 ")</f>
        <v xml:space="preserve">http://slimages.macys.com/is/image/MCY/2959287 </v>
      </c>
    </row>
    <row r="300" spans="1:12" x14ac:dyDescent="0.25">
      <c r="A300" s="6" t="s">
        <v>1912</v>
      </c>
      <c r="B300" s="3" t="s">
        <v>3044</v>
      </c>
      <c r="C300" s="4">
        <v>1</v>
      </c>
      <c r="D300" s="5">
        <v>59.5</v>
      </c>
      <c r="E300" s="4">
        <v>100065387</v>
      </c>
      <c r="F300" s="3" t="s">
        <v>5610</v>
      </c>
      <c r="G300" s="7" t="s">
        <v>5533</v>
      </c>
      <c r="H300" s="3" t="s">
        <v>5585</v>
      </c>
      <c r="I300" s="3" t="s">
        <v>5734</v>
      </c>
      <c r="J300" s="3" t="s">
        <v>5536</v>
      </c>
      <c r="K300" s="3" t="s">
        <v>4035</v>
      </c>
      <c r="L300" s="8" t="str">
        <f>HYPERLINK("http://slimages.macys.com/is/image/MCY/14807254 ")</f>
        <v xml:space="preserve">http://slimages.macys.com/is/image/MCY/14807254 </v>
      </c>
    </row>
    <row r="301" spans="1:12" ht="24.75" x14ac:dyDescent="0.25">
      <c r="A301" s="6" t="s">
        <v>1913</v>
      </c>
      <c r="B301" s="3" t="s">
        <v>1914</v>
      </c>
      <c r="C301" s="4">
        <v>1</v>
      </c>
      <c r="D301" s="5">
        <v>50</v>
      </c>
      <c r="E301" s="4" t="s">
        <v>1915</v>
      </c>
      <c r="F301" s="3" t="s">
        <v>6146</v>
      </c>
      <c r="G301" s="7" t="s">
        <v>5596</v>
      </c>
      <c r="H301" s="3" t="s">
        <v>6019</v>
      </c>
      <c r="I301" s="3" t="s">
        <v>3918</v>
      </c>
      <c r="J301" s="3" t="s">
        <v>5536</v>
      </c>
      <c r="K301" s="3" t="s">
        <v>6021</v>
      </c>
      <c r="L301" s="8" t="str">
        <f>HYPERLINK("http://slimages.macys.com/is/image/MCY/15863228 ")</f>
        <v xml:space="preserve">http://slimages.macys.com/is/image/MCY/15863228 </v>
      </c>
    </row>
    <row r="302" spans="1:12" ht="24.75" x14ac:dyDescent="0.25">
      <c r="A302" s="6" t="s">
        <v>1916</v>
      </c>
      <c r="B302" s="3" t="s">
        <v>1917</v>
      </c>
      <c r="C302" s="4">
        <v>1</v>
      </c>
      <c r="D302" s="5">
        <v>32.5</v>
      </c>
      <c r="E302" s="4" t="s">
        <v>1918</v>
      </c>
      <c r="F302" s="3" t="s">
        <v>5540</v>
      </c>
      <c r="G302" s="7" t="s">
        <v>1919</v>
      </c>
      <c r="H302" s="3" t="s">
        <v>5794</v>
      </c>
      <c r="I302" s="3" t="s">
        <v>5795</v>
      </c>
      <c r="J302" s="3" t="s">
        <v>5536</v>
      </c>
      <c r="K302" s="3" t="s">
        <v>5553</v>
      </c>
      <c r="L302" s="8" t="str">
        <f>HYPERLINK("http://slimages.macys.com/is/image/MCY/3826470 ")</f>
        <v xml:space="preserve">http://slimages.macys.com/is/image/MCY/3826470 </v>
      </c>
    </row>
    <row r="303" spans="1:12" x14ac:dyDescent="0.25">
      <c r="A303" s="6" t="s">
        <v>1920</v>
      </c>
      <c r="B303" s="3" t="s">
        <v>1921</v>
      </c>
      <c r="C303" s="4">
        <v>1</v>
      </c>
      <c r="D303" s="5">
        <v>44.99</v>
      </c>
      <c r="E303" s="4" t="s">
        <v>1922</v>
      </c>
      <c r="F303" s="3" t="s">
        <v>5578</v>
      </c>
      <c r="G303" s="7" t="s">
        <v>5533</v>
      </c>
      <c r="H303" s="3" t="s">
        <v>6003</v>
      </c>
      <c r="I303" s="3" t="s">
        <v>6004</v>
      </c>
      <c r="J303" s="3" t="s">
        <v>5536</v>
      </c>
      <c r="K303" s="3" t="s">
        <v>5727</v>
      </c>
      <c r="L303" s="8" t="str">
        <f>HYPERLINK("http://slimages.macys.com/is/image/MCY/15508303 ")</f>
        <v xml:space="preserve">http://slimages.macys.com/is/image/MCY/15508303 </v>
      </c>
    </row>
    <row r="304" spans="1:12" x14ac:dyDescent="0.25">
      <c r="A304" s="6" t="s">
        <v>1923</v>
      </c>
      <c r="B304" s="3" t="s">
        <v>1921</v>
      </c>
      <c r="C304" s="4">
        <v>1</v>
      </c>
      <c r="D304" s="5">
        <v>44.99</v>
      </c>
      <c r="E304" s="4" t="s">
        <v>1922</v>
      </c>
      <c r="F304" s="3" t="s">
        <v>5578</v>
      </c>
      <c r="G304" s="7" t="s">
        <v>5596</v>
      </c>
      <c r="H304" s="3" t="s">
        <v>6003</v>
      </c>
      <c r="I304" s="3" t="s">
        <v>6004</v>
      </c>
      <c r="J304" s="3" t="s">
        <v>5536</v>
      </c>
      <c r="K304" s="3" t="s">
        <v>5727</v>
      </c>
      <c r="L304" s="8" t="str">
        <f>HYPERLINK("http://slimages.macys.com/is/image/MCY/15508303 ")</f>
        <v xml:space="preserve">http://slimages.macys.com/is/image/MCY/15508303 </v>
      </c>
    </row>
    <row r="305" spans="1:12" ht="24.75" x14ac:dyDescent="0.25">
      <c r="A305" s="6" t="s">
        <v>1924</v>
      </c>
      <c r="B305" s="3" t="s">
        <v>1925</v>
      </c>
      <c r="C305" s="4">
        <v>1</v>
      </c>
      <c r="D305" s="5">
        <v>69.5</v>
      </c>
      <c r="E305" s="4">
        <v>100025821</v>
      </c>
      <c r="F305" s="3" t="s">
        <v>5793</v>
      </c>
      <c r="G305" s="7" t="s">
        <v>5631</v>
      </c>
      <c r="H305" s="3" t="s">
        <v>5955</v>
      </c>
      <c r="I305" s="3" t="s">
        <v>5734</v>
      </c>
      <c r="J305" s="3" t="s">
        <v>5536</v>
      </c>
      <c r="K305" s="3" t="s">
        <v>6092</v>
      </c>
      <c r="L305" s="8" t="str">
        <f>HYPERLINK("http://slimages.macys.com/is/image/MCY/9916325 ")</f>
        <v xml:space="preserve">http://slimages.macys.com/is/image/MCY/9916325 </v>
      </c>
    </row>
    <row r="306" spans="1:12" ht="24.75" x14ac:dyDescent="0.25">
      <c r="A306" s="6" t="s">
        <v>1926</v>
      </c>
      <c r="B306" s="3" t="s">
        <v>1927</v>
      </c>
      <c r="C306" s="4">
        <v>1</v>
      </c>
      <c r="D306" s="5">
        <v>30</v>
      </c>
      <c r="E306" s="4">
        <v>58379504</v>
      </c>
      <c r="F306" s="3" t="s">
        <v>5625</v>
      </c>
      <c r="G306" s="7" t="s">
        <v>5596</v>
      </c>
      <c r="H306" s="3" t="s">
        <v>3853</v>
      </c>
      <c r="I306" s="3" t="s">
        <v>3854</v>
      </c>
      <c r="J306" s="3" t="s">
        <v>5536</v>
      </c>
      <c r="K306" s="3" t="s">
        <v>5594</v>
      </c>
      <c r="L306" s="8" t="str">
        <f>HYPERLINK("http://slimages.macys.com/is/image/MCY/15646632 ")</f>
        <v xml:space="preserve">http://slimages.macys.com/is/image/MCY/15646632 </v>
      </c>
    </row>
    <row r="307" spans="1:12" ht="24.75" x14ac:dyDescent="0.25">
      <c r="A307" s="6" t="s">
        <v>1928</v>
      </c>
      <c r="B307" s="3" t="s">
        <v>1929</v>
      </c>
      <c r="C307" s="4">
        <v>1</v>
      </c>
      <c r="D307" s="5">
        <v>34.5</v>
      </c>
      <c r="E307" s="4" t="s">
        <v>1930</v>
      </c>
      <c r="F307" s="3" t="s">
        <v>5625</v>
      </c>
      <c r="G307" s="7" t="s">
        <v>6848</v>
      </c>
      <c r="H307" s="3" t="s">
        <v>7211</v>
      </c>
      <c r="I307" s="3" t="s">
        <v>7212</v>
      </c>
      <c r="J307" s="3" t="s">
        <v>5536</v>
      </c>
      <c r="K307" s="3" t="s">
        <v>5574</v>
      </c>
      <c r="L307" s="8" t="str">
        <f>HYPERLINK("http://slimages.macys.com/is/image/MCY/14336633 ")</f>
        <v xml:space="preserve">http://slimages.macys.com/is/image/MCY/14336633 </v>
      </c>
    </row>
    <row r="308" spans="1:12" ht="24.75" x14ac:dyDescent="0.25">
      <c r="A308" s="6" t="s">
        <v>1931</v>
      </c>
      <c r="B308" s="3" t="s">
        <v>1932</v>
      </c>
      <c r="C308" s="4">
        <v>1</v>
      </c>
      <c r="D308" s="5">
        <v>29</v>
      </c>
      <c r="E308" s="4" t="s">
        <v>1933</v>
      </c>
      <c r="F308" s="3" t="s">
        <v>5546</v>
      </c>
      <c r="G308" s="7" t="s">
        <v>1478</v>
      </c>
      <c r="H308" s="3" t="s">
        <v>5547</v>
      </c>
      <c r="I308" s="3" t="s">
        <v>5548</v>
      </c>
      <c r="J308" s="3" t="s">
        <v>5536</v>
      </c>
      <c r="K308" s="3" t="s">
        <v>5549</v>
      </c>
      <c r="L308" s="8" t="str">
        <f>HYPERLINK("http://slimages.macys.com/is/image/MCY/13758511 ")</f>
        <v xml:space="preserve">http://slimages.macys.com/is/image/MCY/13758511 </v>
      </c>
    </row>
    <row r="309" spans="1:12" ht="24.75" x14ac:dyDescent="0.25">
      <c r="A309" s="6" t="s">
        <v>1934</v>
      </c>
      <c r="B309" s="3" t="s">
        <v>1935</v>
      </c>
      <c r="C309" s="4">
        <v>1</v>
      </c>
      <c r="D309" s="5">
        <v>30</v>
      </c>
      <c r="E309" s="4" t="s">
        <v>1936</v>
      </c>
      <c r="F309" s="3" t="s">
        <v>5849</v>
      </c>
      <c r="G309" s="7" t="s">
        <v>5596</v>
      </c>
      <c r="H309" s="3" t="s">
        <v>7152</v>
      </c>
      <c r="I309" s="3" t="s">
        <v>4039</v>
      </c>
      <c r="J309" s="3" t="s">
        <v>5536</v>
      </c>
      <c r="K309" s="3" t="s">
        <v>5549</v>
      </c>
      <c r="L309" s="8" t="str">
        <f>HYPERLINK("http://slimages.macys.com/is/image/MCY/14448447 ")</f>
        <v xml:space="preserve">http://slimages.macys.com/is/image/MCY/14448447 </v>
      </c>
    </row>
    <row r="310" spans="1:12" x14ac:dyDescent="0.25">
      <c r="A310" s="6" t="s">
        <v>1937</v>
      </c>
      <c r="B310" s="3" t="s">
        <v>1938</v>
      </c>
      <c r="C310" s="4">
        <v>1</v>
      </c>
      <c r="D310" s="5">
        <v>59.5</v>
      </c>
      <c r="E310" s="4">
        <v>100068750</v>
      </c>
      <c r="F310" s="3" t="s">
        <v>5977</v>
      </c>
      <c r="G310" s="7" t="s">
        <v>5582</v>
      </c>
      <c r="H310" s="3" t="s">
        <v>5585</v>
      </c>
      <c r="I310" s="3" t="s">
        <v>5734</v>
      </c>
      <c r="J310" s="3"/>
      <c r="K310" s="3"/>
      <c r="L310" s="8" t="str">
        <f>HYPERLINK("http://slimages.macys.com/is/image/MCY/14573419 ")</f>
        <v xml:space="preserve">http://slimages.macys.com/is/image/MCY/14573419 </v>
      </c>
    </row>
    <row r="311" spans="1:12" ht="24.75" x14ac:dyDescent="0.25">
      <c r="A311" s="6" t="s">
        <v>1939</v>
      </c>
      <c r="B311" s="3" t="s">
        <v>2239</v>
      </c>
      <c r="C311" s="4">
        <v>1</v>
      </c>
      <c r="D311" s="5">
        <v>40</v>
      </c>
      <c r="E311" s="4" t="s">
        <v>2240</v>
      </c>
      <c r="F311" s="3" t="s">
        <v>5661</v>
      </c>
      <c r="G311" s="7" t="s">
        <v>5598</v>
      </c>
      <c r="H311" s="3" t="s">
        <v>6019</v>
      </c>
      <c r="I311" s="3" t="s">
        <v>6020</v>
      </c>
      <c r="J311" s="3" t="s">
        <v>5536</v>
      </c>
      <c r="K311" s="3" t="s">
        <v>5594</v>
      </c>
      <c r="L311" s="8" t="str">
        <f>HYPERLINK("http://slimages.macys.com/is/image/MCY/14725940 ")</f>
        <v xml:space="preserve">http://slimages.macys.com/is/image/MCY/14725940 </v>
      </c>
    </row>
    <row r="312" spans="1:12" ht="24.75" x14ac:dyDescent="0.25">
      <c r="A312" s="6" t="s">
        <v>1940</v>
      </c>
      <c r="B312" s="3" t="s">
        <v>1941</v>
      </c>
      <c r="C312" s="4">
        <v>1</v>
      </c>
      <c r="D312" s="5">
        <v>69.5</v>
      </c>
      <c r="E312" s="4" t="s">
        <v>1942</v>
      </c>
      <c r="F312" s="3" t="s">
        <v>5793</v>
      </c>
      <c r="G312" s="7" t="s">
        <v>5656</v>
      </c>
      <c r="H312" s="3" t="s">
        <v>5955</v>
      </c>
      <c r="I312" s="3" t="s">
        <v>5956</v>
      </c>
      <c r="J312" s="3" t="s">
        <v>5536</v>
      </c>
      <c r="K312" s="3" t="s">
        <v>5553</v>
      </c>
      <c r="L312" s="8" t="str">
        <f>HYPERLINK("http://slimages.macys.com/is/image/MCY/3381343 ")</f>
        <v xml:space="preserve">http://slimages.macys.com/is/image/MCY/3381343 </v>
      </c>
    </row>
    <row r="313" spans="1:12" ht="24.75" x14ac:dyDescent="0.25">
      <c r="A313" s="6" t="s">
        <v>1943</v>
      </c>
      <c r="B313" s="3" t="s">
        <v>1944</v>
      </c>
      <c r="C313" s="4">
        <v>1</v>
      </c>
      <c r="D313" s="5">
        <v>69.5</v>
      </c>
      <c r="E313" s="4">
        <v>100066737</v>
      </c>
      <c r="F313" s="3" t="s">
        <v>5793</v>
      </c>
      <c r="G313" s="7" t="s">
        <v>5567</v>
      </c>
      <c r="H313" s="3" t="s">
        <v>5955</v>
      </c>
      <c r="I313" s="3" t="s">
        <v>5956</v>
      </c>
      <c r="J313" s="3" t="s">
        <v>5536</v>
      </c>
      <c r="K313" s="3" t="s">
        <v>5594</v>
      </c>
      <c r="L313" s="8" t="str">
        <f>HYPERLINK("http://slimages.macys.com/is/image/MCY/13894101 ")</f>
        <v xml:space="preserve">http://slimages.macys.com/is/image/MCY/13894101 </v>
      </c>
    </row>
    <row r="314" spans="1:12" ht="24.75" x14ac:dyDescent="0.25">
      <c r="A314" s="6" t="s">
        <v>1945</v>
      </c>
      <c r="B314" s="3" t="s">
        <v>1946</v>
      </c>
      <c r="C314" s="4">
        <v>1</v>
      </c>
      <c r="D314" s="5">
        <v>65</v>
      </c>
      <c r="E314" s="4">
        <v>100061154</v>
      </c>
      <c r="F314" s="3" t="s">
        <v>5964</v>
      </c>
      <c r="G314" s="7" t="s">
        <v>5582</v>
      </c>
      <c r="H314" s="3" t="s">
        <v>5585</v>
      </c>
      <c r="I314" s="3" t="s">
        <v>5734</v>
      </c>
      <c r="J314" s="3" t="s">
        <v>5536</v>
      </c>
      <c r="K314" s="3" t="s">
        <v>5594</v>
      </c>
      <c r="L314" s="8" t="str">
        <f>HYPERLINK("http://slimages.macys.com/is/image/MCY/13122002 ")</f>
        <v xml:space="preserve">http://slimages.macys.com/is/image/MCY/13122002 </v>
      </c>
    </row>
    <row r="315" spans="1:12" ht="24.75" x14ac:dyDescent="0.25">
      <c r="A315" s="6" t="s">
        <v>3983</v>
      </c>
      <c r="B315" s="3" t="s">
        <v>3979</v>
      </c>
      <c r="C315" s="4">
        <v>1</v>
      </c>
      <c r="D315" s="5">
        <v>34</v>
      </c>
      <c r="E315" s="4" t="s">
        <v>3980</v>
      </c>
      <c r="F315" s="3" t="s">
        <v>5532</v>
      </c>
      <c r="G315" s="7" t="s">
        <v>5830</v>
      </c>
      <c r="H315" s="3" t="s">
        <v>5825</v>
      </c>
      <c r="I315" s="3" t="s">
        <v>3976</v>
      </c>
      <c r="J315" s="3" t="s">
        <v>3981</v>
      </c>
      <c r="K315" s="3" t="s">
        <v>3982</v>
      </c>
      <c r="L315" s="8" t="str">
        <f>HYPERLINK("http://slimages.macys.com/is/image/MCY/11633546 ")</f>
        <v xml:space="preserve">http://slimages.macys.com/is/image/MCY/11633546 </v>
      </c>
    </row>
    <row r="316" spans="1:12" x14ac:dyDescent="0.25">
      <c r="A316" s="6" t="s">
        <v>1947</v>
      </c>
      <c r="B316" s="3" t="s">
        <v>1948</v>
      </c>
      <c r="C316" s="4">
        <v>1</v>
      </c>
      <c r="D316" s="5">
        <v>37.99</v>
      </c>
      <c r="E316" s="4" t="s">
        <v>1949</v>
      </c>
      <c r="F316" s="3" t="s">
        <v>5820</v>
      </c>
      <c r="G316" s="7" t="s">
        <v>5598</v>
      </c>
      <c r="H316" s="3" t="s">
        <v>6065</v>
      </c>
      <c r="I316" s="3" t="s">
        <v>6066</v>
      </c>
      <c r="J316" s="3" t="s">
        <v>5536</v>
      </c>
      <c r="K316" s="3" t="s">
        <v>5594</v>
      </c>
      <c r="L316" s="8" t="str">
        <f>HYPERLINK("http://slimages.macys.com/is/image/MCY/14424362 ")</f>
        <v xml:space="preserve">http://slimages.macys.com/is/image/MCY/14424362 </v>
      </c>
    </row>
    <row r="317" spans="1:12" x14ac:dyDescent="0.25">
      <c r="A317" s="6" t="s">
        <v>1950</v>
      </c>
      <c r="B317" s="3" t="s">
        <v>1948</v>
      </c>
      <c r="C317" s="4">
        <v>3</v>
      </c>
      <c r="D317" s="5">
        <v>113.97</v>
      </c>
      <c r="E317" s="4" t="s">
        <v>1949</v>
      </c>
      <c r="F317" s="3" t="s">
        <v>5820</v>
      </c>
      <c r="G317" s="7" t="s">
        <v>5562</v>
      </c>
      <c r="H317" s="3" t="s">
        <v>6065</v>
      </c>
      <c r="I317" s="3" t="s">
        <v>6066</v>
      </c>
      <c r="J317" s="3" t="s">
        <v>5536</v>
      </c>
      <c r="K317" s="3" t="s">
        <v>5594</v>
      </c>
      <c r="L317" s="8" t="str">
        <f>HYPERLINK("http://slimages.macys.com/is/image/MCY/14424362 ")</f>
        <v xml:space="preserve">http://slimages.macys.com/is/image/MCY/14424362 </v>
      </c>
    </row>
    <row r="318" spans="1:12" ht="24.75" x14ac:dyDescent="0.25">
      <c r="A318" s="6" t="s">
        <v>1951</v>
      </c>
      <c r="B318" s="3" t="s">
        <v>1952</v>
      </c>
      <c r="C318" s="4">
        <v>1</v>
      </c>
      <c r="D318" s="5">
        <v>40</v>
      </c>
      <c r="E318" s="4" t="s">
        <v>1953</v>
      </c>
      <c r="F318" s="3" t="s">
        <v>6146</v>
      </c>
      <c r="G318" s="7" t="s">
        <v>5850</v>
      </c>
      <c r="H318" s="3" t="s">
        <v>6019</v>
      </c>
      <c r="I318" s="3" t="s">
        <v>6020</v>
      </c>
      <c r="J318" s="3" t="s">
        <v>5536</v>
      </c>
      <c r="K318" s="3" t="s">
        <v>5553</v>
      </c>
      <c r="L318" s="8" t="str">
        <f>HYPERLINK("http://slimages.macys.com/is/image/MCY/12099809 ")</f>
        <v xml:space="preserve">http://slimages.macys.com/is/image/MCY/12099809 </v>
      </c>
    </row>
    <row r="319" spans="1:12" ht="24.75" x14ac:dyDescent="0.25">
      <c r="A319" s="6" t="s">
        <v>3999</v>
      </c>
      <c r="B319" s="3" t="s">
        <v>3989</v>
      </c>
      <c r="C319" s="4">
        <v>1</v>
      </c>
      <c r="D319" s="5">
        <v>50</v>
      </c>
      <c r="E319" s="4" t="s">
        <v>3990</v>
      </c>
      <c r="F319" s="3" t="s">
        <v>5540</v>
      </c>
      <c r="G319" s="7" t="s">
        <v>5650</v>
      </c>
      <c r="H319" s="3" t="s">
        <v>6019</v>
      </c>
      <c r="I319" s="3" t="s">
        <v>3918</v>
      </c>
      <c r="J319" s="3" t="s">
        <v>5536</v>
      </c>
      <c r="K319" s="3" t="s">
        <v>5594</v>
      </c>
      <c r="L319" s="8" t="str">
        <f>HYPERLINK("http://slimages.macys.com/is/image/MCY/16191092 ")</f>
        <v xml:space="preserve">http://slimages.macys.com/is/image/MCY/16191092 </v>
      </c>
    </row>
    <row r="320" spans="1:12" ht="24.75" x14ac:dyDescent="0.25">
      <c r="A320" s="6" t="s">
        <v>1954</v>
      </c>
      <c r="B320" s="3" t="s">
        <v>3989</v>
      </c>
      <c r="C320" s="4">
        <v>1</v>
      </c>
      <c r="D320" s="5">
        <v>50</v>
      </c>
      <c r="E320" s="4" t="s">
        <v>3990</v>
      </c>
      <c r="F320" s="3" t="s">
        <v>5540</v>
      </c>
      <c r="G320" s="7" t="s">
        <v>5629</v>
      </c>
      <c r="H320" s="3" t="s">
        <v>6019</v>
      </c>
      <c r="I320" s="3" t="s">
        <v>3918</v>
      </c>
      <c r="J320" s="3" t="s">
        <v>5536</v>
      </c>
      <c r="K320" s="3" t="s">
        <v>5594</v>
      </c>
      <c r="L320" s="8" t="str">
        <f>HYPERLINK("http://slimages.macys.com/is/image/MCY/16191092 ")</f>
        <v xml:space="preserve">http://slimages.macys.com/is/image/MCY/16191092 </v>
      </c>
    </row>
    <row r="321" spans="1:12" ht="24.75" x14ac:dyDescent="0.25">
      <c r="A321" s="6" t="s">
        <v>1955</v>
      </c>
      <c r="B321" s="3" t="s">
        <v>3989</v>
      </c>
      <c r="C321" s="4">
        <v>1</v>
      </c>
      <c r="D321" s="5">
        <v>50</v>
      </c>
      <c r="E321" s="4" t="s">
        <v>3990</v>
      </c>
      <c r="F321" s="3" t="s">
        <v>5540</v>
      </c>
      <c r="G321" s="7" t="s">
        <v>5658</v>
      </c>
      <c r="H321" s="3" t="s">
        <v>6019</v>
      </c>
      <c r="I321" s="3" t="s">
        <v>3918</v>
      </c>
      <c r="J321" s="3" t="s">
        <v>5536</v>
      </c>
      <c r="K321" s="3" t="s">
        <v>5594</v>
      </c>
      <c r="L321" s="8" t="str">
        <f>HYPERLINK("http://slimages.macys.com/is/image/MCY/16191092 ")</f>
        <v xml:space="preserve">http://slimages.macys.com/is/image/MCY/16191092 </v>
      </c>
    </row>
    <row r="322" spans="1:12" ht="24.75" x14ac:dyDescent="0.25">
      <c r="A322" s="6" t="s">
        <v>3994</v>
      </c>
      <c r="B322" s="3" t="s">
        <v>3989</v>
      </c>
      <c r="C322" s="4">
        <v>1</v>
      </c>
      <c r="D322" s="5">
        <v>50</v>
      </c>
      <c r="E322" s="4" t="s">
        <v>3990</v>
      </c>
      <c r="F322" s="3" t="s">
        <v>5540</v>
      </c>
      <c r="G322" s="7" t="s">
        <v>5656</v>
      </c>
      <c r="H322" s="3" t="s">
        <v>6019</v>
      </c>
      <c r="I322" s="3" t="s">
        <v>3918</v>
      </c>
      <c r="J322" s="3" t="s">
        <v>5536</v>
      </c>
      <c r="K322" s="3" t="s">
        <v>5594</v>
      </c>
      <c r="L322" s="8" t="str">
        <f>HYPERLINK("http://slimages.macys.com/is/image/MCY/16191092 ")</f>
        <v xml:space="preserve">http://slimages.macys.com/is/image/MCY/16191092 </v>
      </c>
    </row>
    <row r="323" spans="1:12" ht="24.75" x14ac:dyDescent="0.25">
      <c r="A323" s="6" t="s">
        <v>3996</v>
      </c>
      <c r="B323" s="3" t="s">
        <v>3989</v>
      </c>
      <c r="C323" s="4">
        <v>1</v>
      </c>
      <c r="D323" s="5">
        <v>50</v>
      </c>
      <c r="E323" s="4" t="s">
        <v>3990</v>
      </c>
      <c r="F323" s="3" t="s">
        <v>5540</v>
      </c>
      <c r="G323" s="7" t="s">
        <v>5605</v>
      </c>
      <c r="H323" s="3" t="s">
        <v>6019</v>
      </c>
      <c r="I323" s="3" t="s">
        <v>3918</v>
      </c>
      <c r="J323" s="3" t="s">
        <v>5536</v>
      </c>
      <c r="K323" s="3" t="s">
        <v>5594</v>
      </c>
      <c r="L323" s="8" t="str">
        <f>HYPERLINK("http://slimages.macys.com/is/image/MCY/16191092 ")</f>
        <v xml:space="preserve">http://slimages.macys.com/is/image/MCY/16191092 </v>
      </c>
    </row>
    <row r="324" spans="1:12" ht="24.75" x14ac:dyDescent="0.25">
      <c r="A324" s="6" t="s">
        <v>1956</v>
      </c>
      <c r="B324" s="3" t="s">
        <v>4817</v>
      </c>
      <c r="C324" s="4">
        <v>1</v>
      </c>
      <c r="D324" s="5">
        <v>30</v>
      </c>
      <c r="E324" s="4" t="s">
        <v>4818</v>
      </c>
      <c r="F324" s="3" t="s">
        <v>6146</v>
      </c>
      <c r="G324" s="7" t="s">
        <v>5533</v>
      </c>
      <c r="H324" s="3" t="s">
        <v>4819</v>
      </c>
      <c r="I324" s="3" t="s">
        <v>4820</v>
      </c>
      <c r="J324" s="3" t="s">
        <v>5536</v>
      </c>
      <c r="K324" s="3" t="s">
        <v>5549</v>
      </c>
      <c r="L324" s="8" t="str">
        <f>HYPERLINK("http://slimages.macys.com/is/image/MCY/15146052 ")</f>
        <v xml:space="preserve">http://slimages.macys.com/is/image/MCY/15146052 </v>
      </c>
    </row>
    <row r="325" spans="1:12" ht="24.75" x14ac:dyDescent="0.25">
      <c r="A325" s="6" t="s">
        <v>1957</v>
      </c>
      <c r="B325" s="3" t="s">
        <v>4817</v>
      </c>
      <c r="C325" s="4">
        <v>1</v>
      </c>
      <c r="D325" s="5">
        <v>30</v>
      </c>
      <c r="E325" s="4" t="s">
        <v>4818</v>
      </c>
      <c r="F325" s="3" t="s">
        <v>6146</v>
      </c>
      <c r="G325" s="7" t="s">
        <v>5596</v>
      </c>
      <c r="H325" s="3" t="s">
        <v>4819</v>
      </c>
      <c r="I325" s="3" t="s">
        <v>4820</v>
      </c>
      <c r="J325" s="3" t="s">
        <v>5536</v>
      </c>
      <c r="K325" s="3" t="s">
        <v>5549</v>
      </c>
      <c r="L325" s="8" t="str">
        <f>HYPERLINK("http://slimages.macys.com/is/image/MCY/15146052 ")</f>
        <v xml:space="preserve">http://slimages.macys.com/is/image/MCY/15146052 </v>
      </c>
    </row>
    <row r="326" spans="1:12" ht="24.75" x14ac:dyDescent="0.25">
      <c r="A326" s="6" t="s">
        <v>1958</v>
      </c>
      <c r="B326" s="3" t="s">
        <v>2249</v>
      </c>
      <c r="C326" s="4">
        <v>1</v>
      </c>
      <c r="D326" s="5">
        <v>45</v>
      </c>
      <c r="E326" s="4">
        <v>10008067100</v>
      </c>
      <c r="F326" s="3" t="s">
        <v>5745</v>
      </c>
      <c r="G326" s="7" t="s">
        <v>5598</v>
      </c>
      <c r="H326" s="3" t="s">
        <v>3941</v>
      </c>
      <c r="I326" s="3" t="s">
        <v>3942</v>
      </c>
      <c r="J326" s="3" t="s">
        <v>5536</v>
      </c>
      <c r="K326" s="3" t="s">
        <v>5727</v>
      </c>
      <c r="L326" s="8" t="str">
        <f>HYPERLINK("http://slimages.macys.com/is/image/MCY/15671562 ")</f>
        <v xml:space="preserve">http://slimages.macys.com/is/image/MCY/15671562 </v>
      </c>
    </row>
    <row r="327" spans="1:12" ht="24.75" x14ac:dyDescent="0.25">
      <c r="A327" s="6" t="s">
        <v>1959</v>
      </c>
      <c r="B327" s="3" t="s">
        <v>1960</v>
      </c>
      <c r="C327" s="4">
        <v>1</v>
      </c>
      <c r="D327" s="5">
        <v>30</v>
      </c>
      <c r="E327" s="4" t="s">
        <v>1961</v>
      </c>
      <c r="F327" s="3" t="s">
        <v>6275</v>
      </c>
      <c r="G327" s="7" t="s">
        <v>5596</v>
      </c>
      <c r="H327" s="3" t="s">
        <v>4819</v>
      </c>
      <c r="I327" s="3" t="s">
        <v>4820</v>
      </c>
      <c r="J327" s="3" t="s">
        <v>5536</v>
      </c>
      <c r="K327" s="3" t="s">
        <v>5727</v>
      </c>
      <c r="L327" s="8" t="str">
        <f>HYPERLINK("http://slimages.macys.com/is/image/MCY/11515494 ")</f>
        <v xml:space="preserve">http://slimages.macys.com/is/image/MCY/11515494 </v>
      </c>
    </row>
    <row r="328" spans="1:12" ht="24.75" x14ac:dyDescent="0.25">
      <c r="A328" s="6" t="s">
        <v>1962</v>
      </c>
      <c r="B328" s="3" t="s">
        <v>4003</v>
      </c>
      <c r="C328" s="4">
        <v>1</v>
      </c>
      <c r="D328" s="5">
        <v>32.99</v>
      </c>
      <c r="E328" s="4" t="s">
        <v>4004</v>
      </c>
      <c r="F328" s="3" t="s">
        <v>5552</v>
      </c>
      <c r="G328" s="7" t="s">
        <v>6862</v>
      </c>
      <c r="H328" s="3" t="s">
        <v>5892</v>
      </c>
      <c r="I328" s="3" t="s">
        <v>5893</v>
      </c>
      <c r="J328" s="3" t="s">
        <v>5536</v>
      </c>
      <c r="K328" s="3" t="s">
        <v>5984</v>
      </c>
      <c r="L328" s="8" t="str">
        <f>HYPERLINK("http://slimages.macys.com/is/image/MCY/15239473 ")</f>
        <v xml:space="preserve">http://slimages.macys.com/is/image/MCY/15239473 </v>
      </c>
    </row>
    <row r="329" spans="1:12" x14ac:dyDescent="0.25">
      <c r="A329" s="6" t="s">
        <v>1963</v>
      </c>
      <c r="B329" s="3" t="s">
        <v>3088</v>
      </c>
      <c r="C329" s="4">
        <v>1</v>
      </c>
      <c r="D329" s="5">
        <v>59.5</v>
      </c>
      <c r="E329" s="4">
        <v>100068754</v>
      </c>
      <c r="F329" s="3" t="s">
        <v>5977</v>
      </c>
      <c r="G329" s="7" t="s">
        <v>5598</v>
      </c>
      <c r="H329" s="3" t="s">
        <v>5585</v>
      </c>
      <c r="I329" s="3" t="s">
        <v>5734</v>
      </c>
      <c r="J329" s="3" t="s">
        <v>5536</v>
      </c>
      <c r="K329" s="3" t="s">
        <v>6494</v>
      </c>
      <c r="L329" s="8" t="str">
        <f>HYPERLINK("http://slimages.macys.com/is/image/MCY/14573205 ")</f>
        <v xml:space="preserve">http://slimages.macys.com/is/image/MCY/14573205 </v>
      </c>
    </row>
    <row r="330" spans="1:12" ht="24.75" x14ac:dyDescent="0.25">
      <c r="A330" s="6" t="s">
        <v>1964</v>
      </c>
      <c r="B330" s="3" t="s">
        <v>1965</v>
      </c>
      <c r="C330" s="4">
        <v>1</v>
      </c>
      <c r="D330" s="5">
        <v>54.99</v>
      </c>
      <c r="E330" s="4">
        <v>100004578</v>
      </c>
      <c r="F330" s="3" t="s">
        <v>7010</v>
      </c>
      <c r="G330" s="7" t="s">
        <v>5579</v>
      </c>
      <c r="H330" s="3" t="s">
        <v>5978</v>
      </c>
      <c r="I330" s="3" t="s">
        <v>1966</v>
      </c>
      <c r="J330" s="3" t="s">
        <v>5536</v>
      </c>
      <c r="K330" s="3" t="s">
        <v>6021</v>
      </c>
      <c r="L330" s="8" t="str">
        <f>HYPERLINK("http://slimages.macys.com/is/image/MCY/10205100 ")</f>
        <v xml:space="preserve">http://slimages.macys.com/is/image/MCY/10205100 </v>
      </c>
    </row>
    <row r="331" spans="1:12" ht="24.75" x14ac:dyDescent="0.25">
      <c r="A331" s="6" t="s">
        <v>1967</v>
      </c>
      <c r="B331" s="3" t="s">
        <v>1965</v>
      </c>
      <c r="C331" s="4">
        <v>1</v>
      </c>
      <c r="D331" s="5">
        <v>54.99</v>
      </c>
      <c r="E331" s="4">
        <v>100004578</v>
      </c>
      <c r="F331" s="3" t="s">
        <v>7010</v>
      </c>
      <c r="G331" s="7"/>
      <c r="H331" s="3" t="s">
        <v>5978</v>
      </c>
      <c r="I331" s="3" t="s">
        <v>1966</v>
      </c>
      <c r="J331" s="3" t="s">
        <v>5536</v>
      </c>
      <c r="K331" s="3" t="s">
        <v>6021</v>
      </c>
      <c r="L331" s="8" t="str">
        <f>HYPERLINK("http://slimages.macys.com/is/image/MCY/10205100 ")</f>
        <v xml:space="preserve">http://slimages.macys.com/is/image/MCY/10205100 </v>
      </c>
    </row>
    <row r="332" spans="1:12" ht="24.75" x14ac:dyDescent="0.25">
      <c r="A332" s="6" t="s">
        <v>1968</v>
      </c>
      <c r="B332" s="3" t="s">
        <v>1969</v>
      </c>
      <c r="C332" s="4">
        <v>1</v>
      </c>
      <c r="D332" s="5">
        <v>54.99</v>
      </c>
      <c r="E332" s="4">
        <v>100004578</v>
      </c>
      <c r="F332" s="3" t="s">
        <v>6275</v>
      </c>
      <c r="G332" s="7" t="s">
        <v>5682</v>
      </c>
      <c r="H332" s="3" t="s">
        <v>5978</v>
      </c>
      <c r="I332" s="3" t="s">
        <v>1966</v>
      </c>
      <c r="J332" s="3" t="s">
        <v>5536</v>
      </c>
      <c r="K332" s="3" t="s">
        <v>6021</v>
      </c>
      <c r="L332" s="8" t="str">
        <f>HYPERLINK("http://slimages.macys.com/is/image/MCY/10205100 ")</f>
        <v xml:space="preserve">http://slimages.macys.com/is/image/MCY/10205100 </v>
      </c>
    </row>
    <row r="333" spans="1:12" ht="24.75" x14ac:dyDescent="0.25">
      <c r="A333" s="6" t="s">
        <v>1970</v>
      </c>
      <c r="B333" s="3" t="s">
        <v>941</v>
      </c>
      <c r="C333" s="4">
        <v>1</v>
      </c>
      <c r="D333" s="5">
        <v>55</v>
      </c>
      <c r="E333" s="4">
        <v>10006349200</v>
      </c>
      <c r="F333" s="3" t="s">
        <v>6275</v>
      </c>
      <c r="G333" s="7" t="s">
        <v>5582</v>
      </c>
      <c r="H333" s="3" t="s">
        <v>3941</v>
      </c>
      <c r="I333" s="3" t="s">
        <v>3942</v>
      </c>
      <c r="J333" s="3" t="s">
        <v>5536</v>
      </c>
      <c r="K333" s="3" t="s">
        <v>6610</v>
      </c>
      <c r="L333" s="8" t="str">
        <f>HYPERLINK("http://slimages.macys.com/is/image/MCY/14398924 ")</f>
        <v xml:space="preserve">http://slimages.macys.com/is/image/MCY/14398924 </v>
      </c>
    </row>
    <row r="334" spans="1:12" ht="24.75" x14ac:dyDescent="0.25">
      <c r="A334" s="6" t="s">
        <v>1971</v>
      </c>
      <c r="B334" s="3" t="s">
        <v>941</v>
      </c>
      <c r="C334" s="4">
        <v>1</v>
      </c>
      <c r="D334" s="5">
        <v>55</v>
      </c>
      <c r="E334" s="4">
        <v>10006349200</v>
      </c>
      <c r="F334" s="3" t="s">
        <v>6275</v>
      </c>
      <c r="G334" s="7" t="s">
        <v>5596</v>
      </c>
      <c r="H334" s="3" t="s">
        <v>3941</v>
      </c>
      <c r="I334" s="3" t="s">
        <v>3942</v>
      </c>
      <c r="J334" s="3" t="s">
        <v>5536</v>
      </c>
      <c r="K334" s="3" t="s">
        <v>6610</v>
      </c>
      <c r="L334" s="8" t="str">
        <f>HYPERLINK("http://slimages.macys.com/is/image/MCY/14398924 ")</f>
        <v xml:space="preserve">http://slimages.macys.com/is/image/MCY/14398924 </v>
      </c>
    </row>
    <row r="335" spans="1:12" ht="24.75" x14ac:dyDescent="0.25">
      <c r="A335" s="6" t="s">
        <v>1972</v>
      </c>
      <c r="B335" s="3" t="s">
        <v>3709</v>
      </c>
      <c r="C335" s="4">
        <v>1</v>
      </c>
      <c r="D335" s="5">
        <v>69.5</v>
      </c>
      <c r="E335" s="4">
        <v>100029707</v>
      </c>
      <c r="F335" s="3" t="s">
        <v>5793</v>
      </c>
      <c r="G335" s="7" t="s">
        <v>5685</v>
      </c>
      <c r="H335" s="3" t="s">
        <v>5955</v>
      </c>
      <c r="I335" s="3" t="s">
        <v>5956</v>
      </c>
      <c r="J335" s="3" t="s">
        <v>5536</v>
      </c>
      <c r="K335" s="3" t="s">
        <v>6092</v>
      </c>
      <c r="L335" s="8" t="str">
        <f>HYPERLINK("http://slimages.macys.com/is/image/MCY/9916325 ")</f>
        <v xml:space="preserve">http://slimages.macys.com/is/image/MCY/9916325 </v>
      </c>
    </row>
    <row r="336" spans="1:12" ht="24.75" x14ac:dyDescent="0.25">
      <c r="A336" s="6" t="s">
        <v>6112</v>
      </c>
      <c r="B336" s="3" t="s">
        <v>6113</v>
      </c>
      <c r="C336" s="4">
        <v>1</v>
      </c>
      <c r="D336" s="5">
        <v>45</v>
      </c>
      <c r="E336" s="4" t="s">
        <v>6114</v>
      </c>
      <c r="F336" s="3" t="s">
        <v>5532</v>
      </c>
      <c r="G336" s="7" t="s">
        <v>5562</v>
      </c>
      <c r="H336" s="3" t="s">
        <v>6019</v>
      </c>
      <c r="I336" s="3" t="s">
        <v>6020</v>
      </c>
      <c r="J336" s="3" t="s">
        <v>5536</v>
      </c>
      <c r="K336" s="3" t="s">
        <v>6115</v>
      </c>
      <c r="L336" s="8" t="str">
        <f>HYPERLINK("http://slimages.macys.com/is/image/MCY/15241663 ")</f>
        <v xml:space="preserve">http://slimages.macys.com/is/image/MCY/15241663 </v>
      </c>
    </row>
    <row r="337" spans="1:12" ht="24.75" x14ac:dyDescent="0.25">
      <c r="A337" s="6" t="s">
        <v>1973</v>
      </c>
      <c r="B337" s="3" t="s">
        <v>6113</v>
      </c>
      <c r="C337" s="4">
        <v>1</v>
      </c>
      <c r="D337" s="5">
        <v>45</v>
      </c>
      <c r="E337" s="4" t="s">
        <v>6114</v>
      </c>
      <c r="F337" s="3" t="s">
        <v>5532</v>
      </c>
      <c r="G337" s="7" t="s">
        <v>5533</v>
      </c>
      <c r="H337" s="3" t="s">
        <v>6019</v>
      </c>
      <c r="I337" s="3" t="s">
        <v>6020</v>
      </c>
      <c r="J337" s="3" t="s">
        <v>5536</v>
      </c>
      <c r="K337" s="3" t="s">
        <v>6115</v>
      </c>
      <c r="L337" s="8" t="str">
        <f>HYPERLINK("http://slimages.macys.com/is/image/MCY/15241663 ")</f>
        <v xml:space="preserve">http://slimages.macys.com/is/image/MCY/15241663 </v>
      </c>
    </row>
    <row r="338" spans="1:12" ht="24.75" x14ac:dyDescent="0.25">
      <c r="A338" s="6" t="s">
        <v>1974</v>
      </c>
      <c r="B338" s="3" t="s">
        <v>1975</v>
      </c>
      <c r="C338" s="4">
        <v>1</v>
      </c>
      <c r="D338" s="5">
        <v>45</v>
      </c>
      <c r="E338" s="4">
        <v>100029695</v>
      </c>
      <c r="F338" s="3" t="s">
        <v>5604</v>
      </c>
      <c r="G338" s="7" t="s">
        <v>5567</v>
      </c>
      <c r="H338" s="3" t="s">
        <v>6019</v>
      </c>
      <c r="I338" s="3" t="s">
        <v>4836</v>
      </c>
      <c r="J338" s="3" t="s">
        <v>5536</v>
      </c>
      <c r="K338" s="3" t="s">
        <v>6021</v>
      </c>
      <c r="L338" s="8" t="str">
        <f>HYPERLINK("http://slimages.macys.com/is/image/MCY/9903964 ")</f>
        <v xml:space="preserve">http://slimages.macys.com/is/image/MCY/9903964 </v>
      </c>
    </row>
    <row r="339" spans="1:12" x14ac:dyDescent="0.25">
      <c r="A339" s="6" t="s">
        <v>1976</v>
      </c>
      <c r="B339" s="3" t="s">
        <v>1977</v>
      </c>
      <c r="C339" s="4">
        <v>1</v>
      </c>
      <c r="D339" s="5">
        <v>69.5</v>
      </c>
      <c r="E339" s="4">
        <v>100073131</v>
      </c>
      <c r="F339" s="3" t="s">
        <v>5610</v>
      </c>
      <c r="G339" s="7" t="s">
        <v>5533</v>
      </c>
      <c r="H339" s="3" t="s">
        <v>5585</v>
      </c>
      <c r="I339" s="3" t="s">
        <v>5586</v>
      </c>
      <c r="J339" s="3" t="s">
        <v>5536</v>
      </c>
      <c r="K339" s="3" t="s">
        <v>5574</v>
      </c>
      <c r="L339" s="8" t="str">
        <f>HYPERLINK("http://slimages.macys.com/is/image/MCY/15266687 ")</f>
        <v xml:space="preserve">http://slimages.macys.com/is/image/MCY/15266687 </v>
      </c>
    </row>
    <row r="340" spans="1:12" ht="24.75" x14ac:dyDescent="0.25">
      <c r="A340" s="6" t="s">
        <v>1978</v>
      </c>
      <c r="B340" s="3" t="s">
        <v>3725</v>
      </c>
      <c r="C340" s="4">
        <v>1</v>
      </c>
      <c r="D340" s="5">
        <v>45</v>
      </c>
      <c r="E340" s="4">
        <v>100029691</v>
      </c>
      <c r="F340" s="3" t="s">
        <v>6983</v>
      </c>
      <c r="G340" s="7" t="s">
        <v>5626</v>
      </c>
      <c r="H340" s="3" t="s">
        <v>6019</v>
      </c>
      <c r="I340" s="3" t="s">
        <v>4836</v>
      </c>
      <c r="J340" s="3" t="s">
        <v>5536</v>
      </c>
      <c r="K340" s="3" t="s">
        <v>6021</v>
      </c>
      <c r="L340" s="8" t="str">
        <f>HYPERLINK("http://slimages.macys.com/is/image/MCY/9903955 ")</f>
        <v xml:space="preserve">http://slimages.macys.com/is/image/MCY/9903955 </v>
      </c>
    </row>
    <row r="341" spans="1:12" ht="24.75" x14ac:dyDescent="0.25">
      <c r="A341" s="6" t="s">
        <v>1979</v>
      </c>
      <c r="B341" s="3" t="s">
        <v>1980</v>
      </c>
      <c r="C341" s="4">
        <v>1</v>
      </c>
      <c r="D341" s="5">
        <v>29.99</v>
      </c>
      <c r="E341" s="4" t="s">
        <v>1981</v>
      </c>
      <c r="F341" s="3" t="s">
        <v>5849</v>
      </c>
      <c r="G341" s="7" t="s">
        <v>5799</v>
      </c>
      <c r="H341" s="3" t="s">
        <v>5862</v>
      </c>
      <c r="I341" s="3" t="s">
        <v>1692</v>
      </c>
      <c r="J341" s="3" t="s">
        <v>5536</v>
      </c>
      <c r="K341" s="3" t="s">
        <v>5727</v>
      </c>
      <c r="L341" s="8" t="str">
        <f>HYPERLINK("http://slimages.macys.com/is/image/MCY/10081597 ")</f>
        <v xml:space="preserve">http://slimages.macys.com/is/image/MCY/10081597 </v>
      </c>
    </row>
    <row r="342" spans="1:12" x14ac:dyDescent="0.25">
      <c r="A342" s="6" t="s">
        <v>1982</v>
      </c>
      <c r="B342" s="3" t="s">
        <v>1983</v>
      </c>
      <c r="C342" s="4">
        <v>1</v>
      </c>
      <c r="D342" s="5">
        <v>65</v>
      </c>
      <c r="E342" s="4">
        <v>100063357</v>
      </c>
      <c r="F342" s="3" t="s">
        <v>5540</v>
      </c>
      <c r="G342" s="7" t="s">
        <v>5533</v>
      </c>
      <c r="H342" s="3" t="s">
        <v>5585</v>
      </c>
      <c r="I342" s="3" t="s">
        <v>5734</v>
      </c>
      <c r="J342" s="3" t="s">
        <v>5536</v>
      </c>
      <c r="K342" s="3" t="s">
        <v>5594</v>
      </c>
      <c r="L342" s="8" t="str">
        <f>HYPERLINK("http://slimages.macys.com/is/image/MCY/14327094 ")</f>
        <v xml:space="preserve">http://slimages.macys.com/is/image/MCY/14327094 </v>
      </c>
    </row>
    <row r="343" spans="1:12" x14ac:dyDescent="0.25">
      <c r="A343" s="6" t="s">
        <v>2282</v>
      </c>
      <c r="B343" s="3" t="s">
        <v>6126</v>
      </c>
      <c r="C343" s="4">
        <v>1</v>
      </c>
      <c r="D343" s="5">
        <v>44.99</v>
      </c>
      <c r="E343" s="4" t="s">
        <v>6127</v>
      </c>
      <c r="F343" s="3" t="s">
        <v>5540</v>
      </c>
      <c r="G343" s="7" t="s">
        <v>5560</v>
      </c>
      <c r="H343" s="3" t="s">
        <v>5978</v>
      </c>
      <c r="I343" s="3" t="s">
        <v>5979</v>
      </c>
      <c r="J343" s="3" t="s">
        <v>5536</v>
      </c>
      <c r="K343" s="3" t="s">
        <v>5594</v>
      </c>
      <c r="L343" s="8" t="str">
        <f>HYPERLINK("http://slimages.macys.com/is/image/MCY/15349437 ")</f>
        <v xml:space="preserve">http://slimages.macys.com/is/image/MCY/15349437 </v>
      </c>
    </row>
    <row r="344" spans="1:12" ht="24.75" x14ac:dyDescent="0.25">
      <c r="A344" s="6" t="s">
        <v>1984</v>
      </c>
      <c r="B344" s="3" t="s">
        <v>1985</v>
      </c>
      <c r="C344" s="4">
        <v>1</v>
      </c>
      <c r="D344" s="5">
        <v>40</v>
      </c>
      <c r="E344" s="4" t="s">
        <v>1986</v>
      </c>
      <c r="F344" s="3" t="s">
        <v>5540</v>
      </c>
      <c r="G344" s="7" t="s">
        <v>5596</v>
      </c>
      <c r="H344" s="3" t="s">
        <v>6019</v>
      </c>
      <c r="I344" s="3" t="s">
        <v>6020</v>
      </c>
      <c r="J344" s="3" t="s">
        <v>5536</v>
      </c>
      <c r="K344" s="3" t="s">
        <v>4060</v>
      </c>
      <c r="L344" s="8" t="str">
        <f>HYPERLINK("http://slimages.macys.com/is/image/MCY/12745225 ")</f>
        <v xml:space="preserve">http://slimages.macys.com/is/image/MCY/12745225 </v>
      </c>
    </row>
    <row r="345" spans="1:12" x14ac:dyDescent="0.25">
      <c r="A345" s="6" t="s">
        <v>1987</v>
      </c>
      <c r="B345" s="3" t="s">
        <v>1988</v>
      </c>
      <c r="C345" s="4">
        <v>1</v>
      </c>
      <c r="D345" s="5">
        <v>33.75</v>
      </c>
      <c r="E345" s="4" t="s">
        <v>1989</v>
      </c>
      <c r="F345" s="3" t="s">
        <v>5540</v>
      </c>
      <c r="G345" s="7" t="s">
        <v>5562</v>
      </c>
      <c r="H345" s="3" t="s">
        <v>6131</v>
      </c>
      <c r="I345" s="3" t="s">
        <v>3109</v>
      </c>
      <c r="J345" s="3" t="s">
        <v>5536</v>
      </c>
      <c r="K345" s="3" t="s">
        <v>6133</v>
      </c>
      <c r="L345" s="8" t="str">
        <f>HYPERLINK("http://slimages.macys.com/is/image/MCY/10212836 ")</f>
        <v xml:space="preserve">http://slimages.macys.com/is/image/MCY/10212836 </v>
      </c>
    </row>
    <row r="346" spans="1:12" ht="24.75" x14ac:dyDescent="0.25">
      <c r="A346" s="6" t="s">
        <v>1990</v>
      </c>
      <c r="B346" s="3" t="s">
        <v>4834</v>
      </c>
      <c r="C346" s="4">
        <v>1</v>
      </c>
      <c r="D346" s="5">
        <v>29.98</v>
      </c>
      <c r="E346" s="4" t="s">
        <v>4835</v>
      </c>
      <c r="F346" s="3" t="s">
        <v>5964</v>
      </c>
      <c r="G346" s="7" t="s">
        <v>5852</v>
      </c>
      <c r="H346" s="3" t="s">
        <v>6019</v>
      </c>
      <c r="I346" s="3" t="s">
        <v>4836</v>
      </c>
      <c r="J346" s="3" t="s">
        <v>5536</v>
      </c>
      <c r="K346" s="3" t="s">
        <v>5594</v>
      </c>
      <c r="L346" s="8" t="str">
        <f>HYPERLINK("http://slimages.macys.com/is/image/MCY/2592884 ")</f>
        <v xml:space="preserve">http://slimages.macys.com/is/image/MCY/2592884 </v>
      </c>
    </row>
    <row r="347" spans="1:12" ht="24.75" x14ac:dyDescent="0.25">
      <c r="A347" s="6" t="s">
        <v>1991</v>
      </c>
      <c r="B347" s="3" t="s">
        <v>1992</v>
      </c>
      <c r="C347" s="4">
        <v>1</v>
      </c>
      <c r="D347" s="5">
        <v>29.98</v>
      </c>
      <c r="E347" s="4" t="s">
        <v>1993</v>
      </c>
      <c r="F347" s="3" t="s">
        <v>5625</v>
      </c>
      <c r="G347" s="7" t="s">
        <v>5852</v>
      </c>
      <c r="H347" s="3" t="s">
        <v>6019</v>
      </c>
      <c r="I347" s="3" t="s">
        <v>4836</v>
      </c>
      <c r="J347" s="3" t="s">
        <v>5536</v>
      </c>
      <c r="K347" s="3" t="s">
        <v>5594</v>
      </c>
      <c r="L347" s="8" t="str">
        <f>HYPERLINK("http://slimages.macys.com/is/image/MCY/2592884 ")</f>
        <v xml:space="preserve">http://slimages.macys.com/is/image/MCY/2592884 </v>
      </c>
    </row>
    <row r="348" spans="1:12" ht="24.75" x14ac:dyDescent="0.25">
      <c r="A348" s="6" t="s">
        <v>1994</v>
      </c>
      <c r="B348" s="3" t="s">
        <v>4031</v>
      </c>
      <c r="C348" s="4">
        <v>1</v>
      </c>
      <c r="D348" s="5">
        <v>49.5</v>
      </c>
      <c r="E348" s="4">
        <v>100033772</v>
      </c>
      <c r="F348" s="3" t="s">
        <v>6275</v>
      </c>
      <c r="G348" s="7" t="s">
        <v>5562</v>
      </c>
      <c r="H348" s="3" t="s">
        <v>5585</v>
      </c>
      <c r="I348" s="3" t="s">
        <v>5734</v>
      </c>
      <c r="J348" s="3" t="s">
        <v>5536</v>
      </c>
      <c r="K348" s="3" t="s">
        <v>5594</v>
      </c>
      <c r="L348" s="8" t="str">
        <f>HYPERLINK("http://slimages.macys.com/is/image/MCY/14630290 ")</f>
        <v xml:space="preserve">http://slimages.macys.com/is/image/MCY/14630290 </v>
      </c>
    </row>
    <row r="349" spans="1:12" ht="24.75" x14ac:dyDescent="0.25">
      <c r="A349" s="6" t="s">
        <v>1995</v>
      </c>
      <c r="B349" s="3" t="s">
        <v>1996</v>
      </c>
      <c r="C349" s="4">
        <v>1</v>
      </c>
      <c r="D349" s="5">
        <v>35</v>
      </c>
      <c r="E349" s="4" t="s">
        <v>1997</v>
      </c>
      <c r="F349" s="3" t="s">
        <v>5793</v>
      </c>
      <c r="G349" s="7" t="s">
        <v>5598</v>
      </c>
      <c r="H349" s="3" t="s">
        <v>5617</v>
      </c>
      <c r="I349" s="3" t="s">
        <v>5618</v>
      </c>
      <c r="J349" s="3" t="s">
        <v>5536</v>
      </c>
      <c r="K349" s="3" t="s">
        <v>5594</v>
      </c>
      <c r="L349" s="8" t="str">
        <f>HYPERLINK("http://slimages.macys.com/is/image/MCY/11262477 ")</f>
        <v xml:space="preserve">http://slimages.macys.com/is/image/MCY/11262477 </v>
      </c>
    </row>
    <row r="350" spans="1:12" x14ac:dyDescent="0.25">
      <c r="A350" s="6" t="s">
        <v>960</v>
      </c>
      <c r="B350" s="3" t="s">
        <v>4033</v>
      </c>
      <c r="C350" s="4">
        <v>1</v>
      </c>
      <c r="D350" s="5">
        <v>49.99</v>
      </c>
      <c r="E350" s="4" t="s">
        <v>4034</v>
      </c>
      <c r="F350" s="3" t="s">
        <v>5540</v>
      </c>
      <c r="G350" s="7" t="s">
        <v>5562</v>
      </c>
      <c r="H350" s="3" t="s">
        <v>5978</v>
      </c>
      <c r="I350" s="3" t="s">
        <v>5979</v>
      </c>
      <c r="J350" s="3" t="s">
        <v>5536</v>
      </c>
      <c r="K350" s="3" t="s">
        <v>4035</v>
      </c>
      <c r="L350" s="8" t="str">
        <f>HYPERLINK("http://slimages.macys.com/is/image/MCY/15250451 ")</f>
        <v xml:space="preserve">http://slimages.macys.com/is/image/MCY/15250451 </v>
      </c>
    </row>
    <row r="351" spans="1:12" ht="24.75" x14ac:dyDescent="0.25">
      <c r="A351" s="6" t="s">
        <v>1998</v>
      </c>
      <c r="B351" s="3" t="s">
        <v>1999</v>
      </c>
      <c r="C351" s="4">
        <v>1</v>
      </c>
      <c r="D351" s="5">
        <v>45</v>
      </c>
      <c r="E351" s="4" t="s">
        <v>2000</v>
      </c>
      <c r="F351" s="3" t="s">
        <v>5540</v>
      </c>
      <c r="G351" s="7" t="s">
        <v>5562</v>
      </c>
      <c r="H351" s="3" t="s">
        <v>6019</v>
      </c>
      <c r="I351" s="3" t="s">
        <v>3918</v>
      </c>
      <c r="J351" s="3" t="s">
        <v>5536</v>
      </c>
      <c r="K351" s="3" t="s">
        <v>5553</v>
      </c>
      <c r="L351" s="8" t="str">
        <f>HYPERLINK("http://slimages.macys.com/is/image/MCY/15863347 ")</f>
        <v xml:space="preserve">http://slimages.macys.com/is/image/MCY/15863347 </v>
      </c>
    </row>
    <row r="352" spans="1:12" ht="24.75" x14ac:dyDescent="0.25">
      <c r="A352" s="6" t="s">
        <v>2001</v>
      </c>
      <c r="B352" s="3" t="s">
        <v>2002</v>
      </c>
      <c r="C352" s="4">
        <v>1</v>
      </c>
      <c r="D352" s="5">
        <v>59.5</v>
      </c>
      <c r="E352" s="4">
        <v>71502540</v>
      </c>
      <c r="F352" s="3" t="s">
        <v>6703</v>
      </c>
      <c r="G352" s="7" t="s">
        <v>5562</v>
      </c>
      <c r="H352" s="3" t="s">
        <v>5585</v>
      </c>
      <c r="I352" s="3" t="s">
        <v>5586</v>
      </c>
      <c r="J352" s="3" t="s">
        <v>5536</v>
      </c>
      <c r="K352" s="3" t="s">
        <v>5553</v>
      </c>
      <c r="L352" s="8" t="str">
        <f>HYPERLINK("http://slimages.macys.com/is/image/MCY/13286841 ")</f>
        <v xml:space="preserve">http://slimages.macys.com/is/image/MCY/13286841 </v>
      </c>
    </row>
    <row r="353" spans="1:12" ht="24.75" x14ac:dyDescent="0.25">
      <c r="A353" s="6" t="s">
        <v>2003</v>
      </c>
      <c r="B353" s="3" t="s">
        <v>2002</v>
      </c>
      <c r="C353" s="4">
        <v>1</v>
      </c>
      <c r="D353" s="5">
        <v>59.5</v>
      </c>
      <c r="E353" s="4">
        <v>71502540</v>
      </c>
      <c r="F353" s="3" t="s">
        <v>6703</v>
      </c>
      <c r="G353" s="7" t="s">
        <v>5582</v>
      </c>
      <c r="H353" s="3" t="s">
        <v>5585</v>
      </c>
      <c r="I353" s="3" t="s">
        <v>5586</v>
      </c>
      <c r="J353" s="3" t="s">
        <v>5536</v>
      </c>
      <c r="K353" s="3" t="s">
        <v>5553</v>
      </c>
      <c r="L353" s="8" t="str">
        <f>HYPERLINK("http://slimages.macys.com/is/image/MCY/13286841 ")</f>
        <v xml:space="preserve">http://slimages.macys.com/is/image/MCY/13286841 </v>
      </c>
    </row>
    <row r="354" spans="1:12" x14ac:dyDescent="0.25">
      <c r="A354" s="6" t="s">
        <v>2004</v>
      </c>
      <c r="B354" s="3" t="s">
        <v>6149</v>
      </c>
      <c r="C354" s="4">
        <v>2</v>
      </c>
      <c r="D354" s="5">
        <v>89.98</v>
      </c>
      <c r="E354" s="4" t="s">
        <v>6150</v>
      </c>
      <c r="F354" s="3" t="s">
        <v>5610</v>
      </c>
      <c r="G354" s="7" t="s">
        <v>5598</v>
      </c>
      <c r="H354" s="3" t="s">
        <v>5978</v>
      </c>
      <c r="I354" s="3" t="s">
        <v>5979</v>
      </c>
      <c r="J354" s="3" t="s">
        <v>5536</v>
      </c>
      <c r="K354" s="3" t="s">
        <v>5574</v>
      </c>
      <c r="L354" s="8" t="str">
        <f>HYPERLINK("http://slimages.macys.com/is/image/MCY/15571655 ")</f>
        <v xml:space="preserve">http://slimages.macys.com/is/image/MCY/15571655 </v>
      </c>
    </row>
    <row r="355" spans="1:12" ht="24.75" x14ac:dyDescent="0.25">
      <c r="A355" s="6" t="s">
        <v>2005</v>
      </c>
      <c r="B355" s="3" t="s">
        <v>2006</v>
      </c>
      <c r="C355" s="4">
        <v>1</v>
      </c>
      <c r="D355" s="5">
        <v>35</v>
      </c>
      <c r="E355" s="4" t="s">
        <v>2007</v>
      </c>
      <c r="F355" s="3" t="s">
        <v>5625</v>
      </c>
      <c r="G355" s="7" t="s">
        <v>5598</v>
      </c>
      <c r="H355" s="3" t="s">
        <v>5617</v>
      </c>
      <c r="I355" s="3" t="s">
        <v>5618</v>
      </c>
      <c r="J355" s="3" t="s">
        <v>5536</v>
      </c>
      <c r="K355" s="3" t="s">
        <v>5594</v>
      </c>
      <c r="L355" s="8" t="str">
        <f>HYPERLINK("http://slimages.macys.com/is/image/MCY/11489487 ")</f>
        <v xml:space="preserve">http://slimages.macys.com/is/image/MCY/11489487 </v>
      </c>
    </row>
    <row r="356" spans="1:12" ht="24.75" x14ac:dyDescent="0.25">
      <c r="A356" s="6" t="s">
        <v>2008</v>
      </c>
      <c r="B356" s="3" t="s">
        <v>4058</v>
      </c>
      <c r="C356" s="4">
        <v>1</v>
      </c>
      <c r="D356" s="5">
        <v>40</v>
      </c>
      <c r="E356" s="4" t="s">
        <v>4059</v>
      </c>
      <c r="F356" s="3" t="s">
        <v>5540</v>
      </c>
      <c r="G356" s="7" t="s">
        <v>5560</v>
      </c>
      <c r="H356" s="3" t="s">
        <v>6019</v>
      </c>
      <c r="I356" s="3" t="s">
        <v>6020</v>
      </c>
      <c r="J356" s="3" t="s">
        <v>5536</v>
      </c>
      <c r="K356" s="3" t="s">
        <v>4060</v>
      </c>
      <c r="L356" s="8" t="str">
        <f>HYPERLINK("http://slimages.macys.com/is/image/MCY/14725728 ")</f>
        <v xml:space="preserve">http://slimages.macys.com/is/image/MCY/14725728 </v>
      </c>
    </row>
    <row r="357" spans="1:12" ht="24.75" x14ac:dyDescent="0.25">
      <c r="A357" s="6" t="s">
        <v>2009</v>
      </c>
      <c r="B357" s="3" t="s">
        <v>6186</v>
      </c>
      <c r="C357" s="4">
        <v>1</v>
      </c>
      <c r="D357" s="5">
        <v>39.99</v>
      </c>
      <c r="E357" s="4" t="s">
        <v>6187</v>
      </c>
      <c r="F357" s="3" t="s">
        <v>5532</v>
      </c>
      <c r="G357" s="7" t="s">
        <v>5562</v>
      </c>
      <c r="H357" s="3" t="s">
        <v>6065</v>
      </c>
      <c r="I357" s="3" t="s">
        <v>6066</v>
      </c>
      <c r="J357" s="3" t="s">
        <v>5536</v>
      </c>
      <c r="K357" s="3" t="s">
        <v>5864</v>
      </c>
      <c r="L357" s="8" t="str">
        <f>HYPERLINK("http://slimages.macys.com/is/image/MCY/15554075 ")</f>
        <v xml:space="preserve">http://slimages.macys.com/is/image/MCY/15554075 </v>
      </c>
    </row>
    <row r="358" spans="1:12" x14ac:dyDescent="0.25">
      <c r="A358" s="6" t="s">
        <v>2010</v>
      </c>
      <c r="B358" s="3" t="s">
        <v>2011</v>
      </c>
      <c r="C358" s="4">
        <v>1</v>
      </c>
      <c r="D358" s="5">
        <v>44.99</v>
      </c>
      <c r="E358" s="4" t="s">
        <v>2012</v>
      </c>
      <c r="F358" s="3" t="s">
        <v>5578</v>
      </c>
      <c r="G358" s="7" t="s">
        <v>5560</v>
      </c>
      <c r="H358" s="3" t="s">
        <v>5978</v>
      </c>
      <c r="I358" s="3" t="s">
        <v>5979</v>
      </c>
      <c r="J358" s="3" t="s">
        <v>5536</v>
      </c>
      <c r="K358" s="3" t="s">
        <v>2013</v>
      </c>
      <c r="L358" s="8" t="str">
        <f>HYPERLINK("http://slimages.macys.com/is/image/MCY/14335962 ")</f>
        <v xml:space="preserve">http://slimages.macys.com/is/image/MCY/14335962 </v>
      </c>
    </row>
    <row r="359" spans="1:12" x14ac:dyDescent="0.25">
      <c r="A359" s="6" t="s">
        <v>2014</v>
      </c>
      <c r="B359" s="3" t="s">
        <v>2015</v>
      </c>
      <c r="C359" s="4">
        <v>1</v>
      </c>
      <c r="D359" s="5">
        <v>49.5</v>
      </c>
      <c r="E359" s="4">
        <v>100064289</v>
      </c>
      <c r="F359" s="3" t="s">
        <v>5552</v>
      </c>
      <c r="G359" s="7" t="s">
        <v>5598</v>
      </c>
      <c r="H359" s="3" t="s">
        <v>5585</v>
      </c>
      <c r="I359" s="3" t="s">
        <v>5734</v>
      </c>
      <c r="J359" s="3" t="s">
        <v>5536</v>
      </c>
      <c r="K359" s="3" t="s">
        <v>5549</v>
      </c>
      <c r="L359" s="8" t="str">
        <f>HYPERLINK("http://slimages.macys.com/is/image/MCY/13848062 ")</f>
        <v xml:space="preserve">http://slimages.macys.com/is/image/MCY/13848062 </v>
      </c>
    </row>
    <row r="360" spans="1:12" ht="48.75" x14ac:dyDescent="0.25">
      <c r="A360" s="6" t="s">
        <v>2016</v>
      </c>
      <c r="B360" s="3" t="s">
        <v>4848</v>
      </c>
      <c r="C360" s="4">
        <v>1</v>
      </c>
      <c r="D360" s="5">
        <v>59.5</v>
      </c>
      <c r="E360" s="4" t="s">
        <v>4849</v>
      </c>
      <c r="F360" s="3" t="s">
        <v>6146</v>
      </c>
      <c r="G360" s="7" t="s">
        <v>5560</v>
      </c>
      <c r="H360" s="3" t="s">
        <v>5585</v>
      </c>
      <c r="I360" s="3" t="s">
        <v>5586</v>
      </c>
      <c r="J360" s="3" t="s">
        <v>5536</v>
      </c>
      <c r="K360" s="3" t="s">
        <v>4850</v>
      </c>
      <c r="L360" s="8" t="str">
        <f>HYPERLINK("http://slimages.macys.com/is/image/MCY/8143158 ")</f>
        <v xml:space="preserve">http://slimages.macys.com/is/image/MCY/8143158 </v>
      </c>
    </row>
    <row r="361" spans="1:12" ht="24.75" x14ac:dyDescent="0.25">
      <c r="A361" s="6" t="s">
        <v>2017</v>
      </c>
      <c r="B361" s="3" t="s">
        <v>2018</v>
      </c>
      <c r="C361" s="4">
        <v>1</v>
      </c>
      <c r="D361" s="5">
        <v>25.5</v>
      </c>
      <c r="E361" s="4" t="s">
        <v>2019</v>
      </c>
      <c r="F361" s="3" t="s">
        <v>5532</v>
      </c>
      <c r="G361" s="7" t="s">
        <v>6862</v>
      </c>
      <c r="H361" s="3" t="s">
        <v>5722</v>
      </c>
      <c r="I361" s="3" t="s">
        <v>2312</v>
      </c>
      <c r="J361" s="3" t="s">
        <v>5536</v>
      </c>
      <c r="K361" s="3" t="s">
        <v>5574</v>
      </c>
      <c r="L361" s="8" t="str">
        <f>HYPERLINK("http://slimages.macys.com/is/image/MCY/8938433 ")</f>
        <v xml:space="preserve">http://slimages.macys.com/is/image/MCY/8938433 </v>
      </c>
    </row>
    <row r="362" spans="1:12" ht="24.75" x14ac:dyDescent="0.25">
      <c r="A362" s="6" t="s">
        <v>2020</v>
      </c>
      <c r="B362" s="3" t="s">
        <v>2021</v>
      </c>
      <c r="C362" s="4">
        <v>2</v>
      </c>
      <c r="D362" s="5">
        <v>55.98</v>
      </c>
      <c r="E362" s="4" t="s">
        <v>2022</v>
      </c>
      <c r="F362" s="3" t="s">
        <v>5887</v>
      </c>
      <c r="G362" s="7" t="s">
        <v>6252</v>
      </c>
      <c r="H362" s="3" t="s">
        <v>6652</v>
      </c>
      <c r="I362" s="3" t="s">
        <v>6653</v>
      </c>
      <c r="J362" s="3" t="s">
        <v>5536</v>
      </c>
      <c r="K362" s="3" t="s">
        <v>5727</v>
      </c>
      <c r="L362" s="8" t="str">
        <f>HYPERLINK("http://slimages.macys.com/is/image/MCY/9332607 ")</f>
        <v xml:space="preserve">http://slimages.macys.com/is/image/MCY/9332607 </v>
      </c>
    </row>
    <row r="363" spans="1:12" ht="24.75" x14ac:dyDescent="0.25">
      <c r="A363" s="6" t="s">
        <v>2023</v>
      </c>
      <c r="B363" s="3" t="s">
        <v>2024</v>
      </c>
      <c r="C363" s="4">
        <v>1</v>
      </c>
      <c r="D363" s="5">
        <v>25</v>
      </c>
      <c r="E363" s="4">
        <v>1328706</v>
      </c>
      <c r="F363" s="3" t="s">
        <v>5578</v>
      </c>
      <c r="G363" s="7" t="s">
        <v>5596</v>
      </c>
      <c r="H363" s="3" t="s">
        <v>5726</v>
      </c>
      <c r="I363" s="3" t="s">
        <v>5726</v>
      </c>
      <c r="J363" s="3" t="s">
        <v>5536</v>
      </c>
      <c r="K363" s="3" t="s">
        <v>5727</v>
      </c>
      <c r="L363" s="8" t="str">
        <f>HYPERLINK("http://slimages.macys.com/is/image/MCY/13637861 ")</f>
        <v xml:space="preserve">http://slimages.macys.com/is/image/MCY/13637861 </v>
      </c>
    </row>
    <row r="364" spans="1:12" ht="24.75" x14ac:dyDescent="0.25">
      <c r="A364" s="6" t="s">
        <v>2025</v>
      </c>
      <c r="B364" s="3" t="s">
        <v>2024</v>
      </c>
      <c r="C364" s="4">
        <v>1</v>
      </c>
      <c r="D364" s="5">
        <v>25</v>
      </c>
      <c r="E364" s="4">
        <v>1328706</v>
      </c>
      <c r="F364" s="3" t="s">
        <v>5578</v>
      </c>
      <c r="G364" s="7" t="s">
        <v>5560</v>
      </c>
      <c r="H364" s="3" t="s">
        <v>5726</v>
      </c>
      <c r="I364" s="3" t="s">
        <v>5726</v>
      </c>
      <c r="J364" s="3" t="s">
        <v>5536</v>
      </c>
      <c r="K364" s="3" t="s">
        <v>5727</v>
      </c>
      <c r="L364" s="8" t="str">
        <f>HYPERLINK("http://slimages.macys.com/is/image/MCY/13637861 ")</f>
        <v xml:space="preserve">http://slimages.macys.com/is/image/MCY/13637861 </v>
      </c>
    </row>
    <row r="365" spans="1:12" ht="24.75" x14ac:dyDescent="0.25">
      <c r="A365" s="6" t="s">
        <v>2026</v>
      </c>
      <c r="B365" s="3" t="s">
        <v>2027</v>
      </c>
      <c r="C365" s="4">
        <v>1</v>
      </c>
      <c r="D365" s="5">
        <v>34.299999999999997</v>
      </c>
      <c r="E365" s="4" t="s">
        <v>2028</v>
      </c>
      <c r="F365" s="3" t="s">
        <v>5640</v>
      </c>
      <c r="G365" s="7" t="s">
        <v>4491</v>
      </c>
      <c r="H365" s="3" t="s">
        <v>6131</v>
      </c>
      <c r="I365" s="3" t="s">
        <v>6204</v>
      </c>
      <c r="J365" s="3" t="s">
        <v>5536</v>
      </c>
      <c r="K365" s="3" t="s">
        <v>4088</v>
      </c>
      <c r="L365" s="8" t="str">
        <f>HYPERLINK("http://slimages.macys.com/is/image/MCY/9607015 ")</f>
        <v xml:space="preserve">http://slimages.macys.com/is/image/MCY/9607015 </v>
      </c>
    </row>
    <row r="366" spans="1:12" ht="24.75" x14ac:dyDescent="0.25">
      <c r="A366" s="6" t="s">
        <v>2029</v>
      </c>
      <c r="B366" s="3" t="s">
        <v>2030</v>
      </c>
      <c r="C366" s="4">
        <v>1</v>
      </c>
      <c r="D366" s="5">
        <v>29.98</v>
      </c>
      <c r="E366" s="4" t="s">
        <v>2031</v>
      </c>
      <c r="F366" s="3" t="s">
        <v>5604</v>
      </c>
      <c r="G366" s="7"/>
      <c r="H366" s="3" t="s">
        <v>6065</v>
      </c>
      <c r="I366" s="3" t="s">
        <v>2032</v>
      </c>
      <c r="J366" s="3" t="s">
        <v>5536</v>
      </c>
      <c r="K366" s="3" t="s">
        <v>5594</v>
      </c>
      <c r="L366" s="8" t="str">
        <f>HYPERLINK("http://slimages.macys.com/is/image/MCY/2251113 ")</f>
        <v xml:space="preserve">http://slimages.macys.com/is/image/MCY/2251113 </v>
      </c>
    </row>
    <row r="367" spans="1:12" ht="24.75" x14ac:dyDescent="0.25">
      <c r="A367" s="6" t="s">
        <v>2033</v>
      </c>
      <c r="B367" s="3" t="s">
        <v>2034</v>
      </c>
      <c r="C367" s="4">
        <v>1</v>
      </c>
      <c r="D367" s="5">
        <v>39.99</v>
      </c>
      <c r="E367" s="4">
        <v>10006470400</v>
      </c>
      <c r="F367" s="3" t="s">
        <v>6075</v>
      </c>
      <c r="G367" s="7" t="s">
        <v>6500</v>
      </c>
      <c r="H367" s="3" t="s">
        <v>6522</v>
      </c>
      <c r="I367" s="3" t="s">
        <v>4828</v>
      </c>
      <c r="J367" s="3" t="s">
        <v>5536</v>
      </c>
      <c r="K367" s="3" t="s">
        <v>5587</v>
      </c>
      <c r="L367" s="8" t="str">
        <f>HYPERLINK("http://slimages.macys.com/is/image/MCY/15665658 ")</f>
        <v xml:space="preserve">http://slimages.macys.com/is/image/MCY/15665658 </v>
      </c>
    </row>
    <row r="368" spans="1:12" ht="24.75" x14ac:dyDescent="0.25">
      <c r="A368" s="6" t="s">
        <v>2035</v>
      </c>
      <c r="B368" s="3" t="s">
        <v>2036</v>
      </c>
      <c r="C368" s="4">
        <v>1</v>
      </c>
      <c r="D368" s="5">
        <v>25.5</v>
      </c>
      <c r="E368" s="4">
        <v>54304</v>
      </c>
      <c r="F368" s="3" t="s">
        <v>5625</v>
      </c>
      <c r="G368" s="7" t="s">
        <v>5533</v>
      </c>
      <c r="H368" s="3" t="s">
        <v>5794</v>
      </c>
      <c r="I368" s="3" t="s">
        <v>4084</v>
      </c>
      <c r="J368" s="3" t="s">
        <v>5536</v>
      </c>
      <c r="K368" s="3" t="s">
        <v>5587</v>
      </c>
      <c r="L368" s="8" t="str">
        <f>HYPERLINK("http://slimages.macys.com/is/image/MCY/11791994 ")</f>
        <v xml:space="preserve">http://slimages.macys.com/is/image/MCY/11791994 </v>
      </c>
    </row>
    <row r="369" spans="1:12" x14ac:dyDescent="0.25">
      <c r="A369" s="6" t="s">
        <v>2037</v>
      </c>
      <c r="B369" s="3" t="s">
        <v>2038</v>
      </c>
      <c r="C369" s="4">
        <v>1</v>
      </c>
      <c r="D369" s="5">
        <v>34.99</v>
      </c>
      <c r="E369" s="4" t="s">
        <v>2039</v>
      </c>
      <c r="F369" s="3" t="s">
        <v>5532</v>
      </c>
      <c r="G369" s="7" t="s">
        <v>5598</v>
      </c>
      <c r="H369" s="3" t="s">
        <v>6003</v>
      </c>
      <c r="I369" s="3" t="s">
        <v>6004</v>
      </c>
      <c r="J369" s="3" t="s">
        <v>5536</v>
      </c>
      <c r="K369" s="3" t="s">
        <v>6021</v>
      </c>
      <c r="L369" s="8" t="str">
        <f>HYPERLINK("http://slimages.macys.com/is/image/MCY/14769052 ")</f>
        <v xml:space="preserve">http://slimages.macys.com/is/image/MCY/14769052 </v>
      </c>
    </row>
    <row r="370" spans="1:12" ht="24.75" x14ac:dyDescent="0.25">
      <c r="A370" s="6" t="s">
        <v>2040</v>
      </c>
      <c r="B370" s="3" t="s">
        <v>2041</v>
      </c>
      <c r="C370" s="4">
        <v>1</v>
      </c>
      <c r="D370" s="5">
        <v>39.99</v>
      </c>
      <c r="E370" s="4">
        <v>10006467800</v>
      </c>
      <c r="F370" s="3" t="s">
        <v>5604</v>
      </c>
      <c r="G370" s="7" t="s">
        <v>5533</v>
      </c>
      <c r="H370" s="3" t="s">
        <v>6522</v>
      </c>
      <c r="I370" s="3" t="s">
        <v>4828</v>
      </c>
      <c r="J370" s="3" t="s">
        <v>5536</v>
      </c>
      <c r="K370" s="3" t="s">
        <v>5727</v>
      </c>
      <c r="L370" s="8" t="str">
        <f>HYPERLINK("http://slimages.macys.com/is/image/MCY/13942033 ")</f>
        <v xml:space="preserve">http://slimages.macys.com/is/image/MCY/13942033 </v>
      </c>
    </row>
    <row r="371" spans="1:12" ht="24.75" x14ac:dyDescent="0.25">
      <c r="A371" s="6" t="s">
        <v>2042</v>
      </c>
      <c r="B371" s="3" t="s">
        <v>2041</v>
      </c>
      <c r="C371" s="4">
        <v>2</v>
      </c>
      <c r="D371" s="5">
        <v>79.98</v>
      </c>
      <c r="E371" s="4">
        <v>10006467800</v>
      </c>
      <c r="F371" s="3" t="s">
        <v>5540</v>
      </c>
      <c r="G371" s="7" t="s">
        <v>5596</v>
      </c>
      <c r="H371" s="3" t="s">
        <v>6522</v>
      </c>
      <c r="I371" s="3" t="s">
        <v>4828</v>
      </c>
      <c r="J371" s="3" t="s">
        <v>5536</v>
      </c>
      <c r="K371" s="3" t="s">
        <v>5727</v>
      </c>
      <c r="L371" s="8" t="str">
        <f>HYPERLINK("http://slimages.macys.com/is/image/MCY/13942033 ")</f>
        <v xml:space="preserve">http://slimages.macys.com/is/image/MCY/13942033 </v>
      </c>
    </row>
    <row r="372" spans="1:12" ht="24.75" x14ac:dyDescent="0.25">
      <c r="A372" s="6" t="s">
        <v>2043</v>
      </c>
      <c r="B372" s="3" t="s">
        <v>2041</v>
      </c>
      <c r="C372" s="4">
        <v>1</v>
      </c>
      <c r="D372" s="5">
        <v>39.99</v>
      </c>
      <c r="E372" s="4">
        <v>10006467800</v>
      </c>
      <c r="F372" s="3" t="s">
        <v>5604</v>
      </c>
      <c r="G372" s="7" t="s">
        <v>5596</v>
      </c>
      <c r="H372" s="3" t="s">
        <v>6522</v>
      </c>
      <c r="I372" s="3" t="s">
        <v>4828</v>
      </c>
      <c r="J372" s="3" t="s">
        <v>5536</v>
      </c>
      <c r="K372" s="3" t="s">
        <v>5727</v>
      </c>
      <c r="L372" s="8" t="str">
        <f>HYPERLINK("http://slimages.macys.com/is/image/MCY/13942033 ")</f>
        <v xml:space="preserve">http://slimages.macys.com/is/image/MCY/13942033 </v>
      </c>
    </row>
    <row r="373" spans="1:12" ht="24.75" x14ac:dyDescent="0.25">
      <c r="A373" s="6" t="s">
        <v>2044</v>
      </c>
      <c r="B373" s="3" t="s">
        <v>4858</v>
      </c>
      <c r="C373" s="4">
        <v>1</v>
      </c>
      <c r="D373" s="5">
        <v>45</v>
      </c>
      <c r="E373" s="4" t="s">
        <v>4859</v>
      </c>
      <c r="F373" s="3" t="s">
        <v>5745</v>
      </c>
      <c r="G373" s="7" t="s">
        <v>5533</v>
      </c>
      <c r="H373" s="3" t="s">
        <v>6019</v>
      </c>
      <c r="I373" s="3" t="s">
        <v>6020</v>
      </c>
      <c r="J373" s="3" t="s">
        <v>5536</v>
      </c>
      <c r="K373" s="3" t="s">
        <v>5594</v>
      </c>
      <c r="L373" s="8" t="str">
        <f>HYPERLINK("http://slimages.macys.com/is/image/MCY/15241596 ")</f>
        <v xml:space="preserve">http://slimages.macys.com/is/image/MCY/15241596 </v>
      </c>
    </row>
    <row r="374" spans="1:12" ht="24.75" x14ac:dyDescent="0.25">
      <c r="A374" s="6" t="s">
        <v>2045</v>
      </c>
      <c r="B374" s="3" t="s">
        <v>4858</v>
      </c>
      <c r="C374" s="4">
        <v>1</v>
      </c>
      <c r="D374" s="5">
        <v>45</v>
      </c>
      <c r="E374" s="4" t="s">
        <v>4859</v>
      </c>
      <c r="F374" s="3" t="s">
        <v>5745</v>
      </c>
      <c r="G374" s="7" t="s">
        <v>5598</v>
      </c>
      <c r="H374" s="3" t="s">
        <v>6019</v>
      </c>
      <c r="I374" s="3" t="s">
        <v>6020</v>
      </c>
      <c r="J374" s="3" t="s">
        <v>5536</v>
      </c>
      <c r="K374" s="3" t="s">
        <v>5594</v>
      </c>
      <c r="L374" s="8" t="str">
        <f>HYPERLINK("http://slimages.macys.com/is/image/MCY/15241596 ")</f>
        <v xml:space="preserve">http://slimages.macys.com/is/image/MCY/15241596 </v>
      </c>
    </row>
    <row r="375" spans="1:12" ht="24.75" x14ac:dyDescent="0.25">
      <c r="A375" s="6" t="s">
        <v>2046</v>
      </c>
      <c r="B375" s="3" t="s">
        <v>2047</v>
      </c>
      <c r="C375" s="4">
        <v>1</v>
      </c>
      <c r="D375" s="5">
        <v>34.99</v>
      </c>
      <c r="E375" s="4" t="s">
        <v>2048</v>
      </c>
      <c r="F375" s="3" t="s">
        <v>6275</v>
      </c>
      <c r="G375" s="7" t="s">
        <v>5560</v>
      </c>
      <c r="H375" s="3" t="s">
        <v>6065</v>
      </c>
      <c r="I375" s="3" t="s">
        <v>6066</v>
      </c>
      <c r="J375" s="3" t="s">
        <v>5536</v>
      </c>
      <c r="K375" s="3" t="s">
        <v>5574</v>
      </c>
      <c r="L375" s="8" t="str">
        <f>HYPERLINK("http://slimages.macys.com/is/image/MCY/14409573 ")</f>
        <v xml:space="preserve">http://slimages.macys.com/is/image/MCY/14409573 </v>
      </c>
    </row>
    <row r="376" spans="1:12" ht="24.75" x14ac:dyDescent="0.25">
      <c r="A376" s="6" t="s">
        <v>2049</v>
      </c>
      <c r="B376" s="3" t="s">
        <v>2047</v>
      </c>
      <c r="C376" s="4">
        <v>1</v>
      </c>
      <c r="D376" s="5">
        <v>34.99</v>
      </c>
      <c r="E376" s="4" t="s">
        <v>2048</v>
      </c>
      <c r="F376" s="3" t="s">
        <v>6275</v>
      </c>
      <c r="G376" s="7" t="s">
        <v>5562</v>
      </c>
      <c r="H376" s="3" t="s">
        <v>6065</v>
      </c>
      <c r="I376" s="3" t="s">
        <v>6066</v>
      </c>
      <c r="J376" s="3" t="s">
        <v>5536</v>
      </c>
      <c r="K376" s="3" t="s">
        <v>5574</v>
      </c>
      <c r="L376" s="8" t="str">
        <f>HYPERLINK("http://slimages.macys.com/is/image/MCY/14409573 ")</f>
        <v xml:space="preserve">http://slimages.macys.com/is/image/MCY/14409573 </v>
      </c>
    </row>
    <row r="377" spans="1:12" ht="24.75" x14ac:dyDescent="0.25">
      <c r="A377" s="6" t="s">
        <v>2050</v>
      </c>
      <c r="B377" s="3" t="s">
        <v>2051</v>
      </c>
      <c r="C377" s="4">
        <v>1</v>
      </c>
      <c r="D377" s="5">
        <v>29.99</v>
      </c>
      <c r="E377" s="4" t="s">
        <v>2052</v>
      </c>
      <c r="F377" s="3" t="s">
        <v>5540</v>
      </c>
      <c r="G377" s="7" t="s">
        <v>5656</v>
      </c>
      <c r="H377" s="3" t="s">
        <v>5862</v>
      </c>
      <c r="I377" s="3" t="s">
        <v>1692</v>
      </c>
      <c r="J377" s="3" t="s">
        <v>5536</v>
      </c>
      <c r="K377" s="3" t="s">
        <v>6092</v>
      </c>
      <c r="L377" s="8" t="str">
        <f>HYPERLINK("http://slimages.macys.com/is/image/MCY/10335748 ")</f>
        <v xml:space="preserve">http://slimages.macys.com/is/image/MCY/10335748 </v>
      </c>
    </row>
    <row r="378" spans="1:12" ht="24.75" x14ac:dyDescent="0.25">
      <c r="A378" s="6" t="s">
        <v>2053</v>
      </c>
      <c r="B378" s="3" t="s">
        <v>2054</v>
      </c>
      <c r="C378" s="4">
        <v>1</v>
      </c>
      <c r="D378" s="5">
        <v>45</v>
      </c>
      <c r="E378" s="4" t="s">
        <v>2055</v>
      </c>
      <c r="F378" s="3" t="s">
        <v>5661</v>
      </c>
      <c r="G378" s="7" t="s">
        <v>5598</v>
      </c>
      <c r="H378" s="3" t="s">
        <v>6019</v>
      </c>
      <c r="I378" s="3" t="s">
        <v>6020</v>
      </c>
      <c r="J378" s="3" t="s">
        <v>5536</v>
      </c>
      <c r="K378" s="3" t="s">
        <v>6115</v>
      </c>
      <c r="L378" s="8" t="str">
        <f>HYPERLINK("http://slimages.macys.com/is/image/MCY/15241659 ")</f>
        <v xml:space="preserve">http://slimages.macys.com/is/image/MCY/15241659 </v>
      </c>
    </row>
    <row r="379" spans="1:12" ht="24.75" x14ac:dyDescent="0.25">
      <c r="A379" s="6" t="s">
        <v>2056</v>
      </c>
      <c r="B379" s="3" t="s">
        <v>2054</v>
      </c>
      <c r="C379" s="4">
        <v>1</v>
      </c>
      <c r="D379" s="5">
        <v>45</v>
      </c>
      <c r="E379" s="4" t="s">
        <v>2055</v>
      </c>
      <c r="F379" s="3" t="s">
        <v>5661</v>
      </c>
      <c r="G379" s="7" t="s">
        <v>5562</v>
      </c>
      <c r="H379" s="3" t="s">
        <v>6019</v>
      </c>
      <c r="I379" s="3" t="s">
        <v>6020</v>
      </c>
      <c r="J379" s="3" t="s">
        <v>5536</v>
      </c>
      <c r="K379" s="3" t="s">
        <v>6115</v>
      </c>
      <c r="L379" s="8" t="str">
        <f>HYPERLINK("http://slimages.macys.com/is/image/MCY/15241659 ")</f>
        <v xml:space="preserve">http://slimages.macys.com/is/image/MCY/15241659 </v>
      </c>
    </row>
    <row r="380" spans="1:12" x14ac:dyDescent="0.25">
      <c r="A380" s="6" t="s">
        <v>2057</v>
      </c>
      <c r="B380" s="3" t="s">
        <v>2058</v>
      </c>
      <c r="C380" s="4">
        <v>1</v>
      </c>
      <c r="D380" s="5">
        <v>34.299999999999997</v>
      </c>
      <c r="E380" s="4" t="s">
        <v>2059</v>
      </c>
      <c r="F380" s="3" t="s">
        <v>5640</v>
      </c>
      <c r="G380" s="7" t="s">
        <v>5560</v>
      </c>
      <c r="H380" s="3" t="s">
        <v>6131</v>
      </c>
      <c r="I380" s="3" t="s">
        <v>6204</v>
      </c>
      <c r="J380" s="3" t="s">
        <v>5536</v>
      </c>
      <c r="K380" s="3" t="s">
        <v>6205</v>
      </c>
      <c r="L380" s="8" t="str">
        <f>HYPERLINK("http://slimages.macys.com/is/image/MCY/11452197 ")</f>
        <v xml:space="preserve">http://slimages.macys.com/is/image/MCY/11452197 </v>
      </c>
    </row>
    <row r="381" spans="1:12" x14ac:dyDescent="0.25">
      <c r="A381" s="6" t="s">
        <v>2060</v>
      </c>
      <c r="B381" s="3" t="s">
        <v>2061</v>
      </c>
      <c r="C381" s="4">
        <v>1</v>
      </c>
      <c r="D381" s="5">
        <v>39.99</v>
      </c>
      <c r="E381" s="4" t="s">
        <v>2062</v>
      </c>
      <c r="F381" s="3" t="s">
        <v>5625</v>
      </c>
      <c r="G381" s="7" t="s">
        <v>5560</v>
      </c>
      <c r="H381" s="3" t="s">
        <v>6003</v>
      </c>
      <c r="I381" s="3" t="s">
        <v>6004</v>
      </c>
      <c r="J381" s="3" t="s">
        <v>5536</v>
      </c>
      <c r="K381" s="3" t="s">
        <v>2347</v>
      </c>
      <c r="L381" s="8" t="str">
        <f>HYPERLINK("http://slimages.macys.com/is/image/MCY/14309721 ")</f>
        <v xml:space="preserve">http://slimages.macys.com/is/image/MCY/14309721 </v>
      </c>
    </row>
    <row r="382" spans="1:12" ht="24.75" x14ac:dyDescent="0.25">
      <c r="A382" s="6" t="s">
        <v>2063</v>
      </c>
      <c r="B382" s="3" t="s">
        <v>6212</v>
      </c>
      <c r="C382" s="4">
        <v>1</v>
      </c>
      <c r="D382" s="5">
        <v>19.989999999999998</v>
      </c>
      <c r="E382" s="4" t="s">
        <v>6213</v>
      </c>
      <c r="F382" s="3" t="s">
        <v>5616</v>
      </c>
      <c r="G382" s="7" t="s">
        <v>5533</v>
      </c>
      <c r="H382" s="3" t="s">
        <v>5606</v>
      </c>
      <c r="I382" s="3" t="s">
        <v>5914</v>
      </c>
      <c r="J382" s="3" t="s">
        <v>5536</v>
      </c>
      <c r="K382" s="3" t="s">
        <v>5574</v>
      </c>
      <c r="L382" s="8" t="str">
        <f>HYPERLINK("http://slimages.macys.com/is/image/MCY/11670675 ")</f>
        <v xml:space="preserve">http://slimages.macys.com/is/image/MCY/11670675 </v>
      </c>
    </row>
    <row r="383" spans="1:12" ht="24.75" x14ac:dyDescent="0.25">
      <c r="A383" s="6" t="s">
        <v>2064</v>
      </c>
      <c r="B383" s="3" t="s">
        <v>2334</v>
      </c>
      <c r="C383" s="4">
        <v>1</v>
      </c>
      <c r="D383" s="5">
        <v>30</v>
      </c>
      <c r="E383" s="4" t="s">
        <v>2335</v>
      </c>
      <c r="F383" s="3" t="s">
        <v>5532</v>
      </c>
      <c r="G383" s="7" t="s">
        <v>5582</v>
      </c>
      <c r="H383" s="3" t="s">
        <v>6019</v>
      </c>
      <c r="I383" s="3" t="s">
        <v>6020</v>
      </c>
      <c r="J383" s="3" t="s">
        <v>5536</v>
      </c>
      <c r="K383" s="3" t="s">
        <v>5553</v>
      </c>
      <c r="L383" s="8" t="str">
        <f>HYPERLINK("http://slimages.macys.com/is/image/MCY/12933158 ")</f>
        <v xml:space="preserve">http://slimages.macys.com/is/image/MCY/12933158 </v>
      </c>
    </row>
    <row r="384" spans="1:12" ht="24.75" x14ac:dyDescent="0.25">
      <c r="A384" s="6" t="s">
        <v>2065</v>
      </c>
      <c r="B384" s="3" t="s">
        <v>2066</v>
      </c>
      <c r="C384" s="4">
        <v>1</v>
      </c>
      <c r="D384" s="5">
        <v>39.99</v>
      </c>
      <c r="E384" s="4">
        <v>100064675</v>
      </c>
      <c r="F384" s="3" t="s">
        <v>5610</v>
      </c>
      <c r="G384" s="7" t="s">
        <v>5596</v>
      </c>
      <c r="H384" s="3" t="s">
        <v>6522</v>
      </c>
      <c r="I384" s="3" t="s">
        <v>4828</v>
      </c>
      <c r="J384" s="3" t="s">
        <v>5536</v>
      </c>
      <c r="K384" s="3" t="s">
        <v>5727</v>
      </c>
      <c r="L384" s="8" t="str">
        <f>HYPERLINK("http://slimages.macys.com/is/image/MCY/13787371 ")</f>
        <v xml:space="preserve">http://slimages.macys.com/is/image/MCY/13787371 </v>
      </c>
    </row>
    <row r="385" spans="1:12" ht="24.75" x14ac:dyDescent="0.25">
      <c r="A385" s="6" t="s">
        <v>1334</v>
      </c>
      <c r="B385" s="3" t="s">
        <v>2337</v>
      </c>
      <c r="C385" s="4">
        <v>1</v>
      </c>
      <c r="D385" s="5">
        <v>45</v>
      </c>
      <c r="E385" s="4" t="s">
        <v>2338</v>
      </c>
      <c r="F385" s="3" t="s">
        <v>5540</v>
      </c>
      <c r="G385" s="7" t="s">
        <v>5596</v>
      </c>
      <c r="H385" s="3" t="s">
        <v>6019</v>
      </c>
      <c r="I385" s="3" t="s">
        <v>3918</v>
      </c>
      <c r="J385" s="3" t="s">
        <v>5536</v>
      </c>
      <c r="K385" s="3" t="s">
        <v>5594</v>
      </c>
      <c r="L385" s="8" t="str">
        <f>HYPERLINK("http://slimages.macys.com/is/image/MCY/16191425 ")</f>
        <v xml:space="preserve">http://slimages.macys.com/is/image/MCY/16191425 </v>
      </c>
    </row>
    <row r="386" spans="1:12" x14ac:dyDescent="0.25">
      <c r="A386" s="6" t="s">
        <v>2067</v>
      </c>
      <c r="B386" s="3" t="s">
        <v>2068</v>
      </c>
      <c r="C386" s="4">
        <v>1</v>
      </c>
      <c r="D386" s="5">
        <v>39.99</v>
      </c>
      <c r="E386" s="4" t="s">
        <v>2069</v>
      </c>
      <c r="F386" s="3" t="s">
        <v>5625</v>
      </c>
      <c r="G386" s="7" t="s">
        <v>5562</v>
      </c>
      <c r="H386" s="3" t="s">
        <v>6065</v>
      </c>
      <c r="I386" s="3" t="s">
        <v>6066</v>
      </c>
      <c r="J386" s="3" t="s">
        <v>5536</v>
      </c>
      <c r="K386" s="3" t="s">
        <v>5574</v>
      </c>
      <c r="L386" s="8" t="str">
        <f>HYPERLINK("http://slimages.macys.com/is/image/MCY/14343523 ")</f>
        <v xml:space="preserve">http://slimages.macys.com/is/image/MCY/14343523 </v>
      </c>
    </row>
    <row r="387" spans="1:12" x14ac:dyDescent="0.25">
      <c r="A387" s="6" t="s">
        <v>2070</v>
      </c>
      <c r="B387" s="3" t="s">
        <v>6223</v>
      </c>
      <c r="C387" s="4">
        <v>1</v>
      </c>
      <c r="D387" s="5">
        <v>39.99</v>
      </c>
      <c r="E387" s="4" t="s">
        <v>6224</v>
      </c>
      <c r="F387" s="3" t="s">
        <v>5578</v>
      </c>
      <c r="G387" s="7" t="s">
        <v>5560</v>
      </c>
      <c r="H387" s="3" t="s">
        <v>5978</v>
      </c>
      <c r="I387" s="3" t="s">
        <v>5979</v>
      </c>
      <c r="J387" s="3" t="s">
        <v>5536</v>
      </c>
      <c r="K387" s="3" t="s">
        <v>5574</v>
      </c>
      <c r="L387" s="8" t="str">
        <f>HYPERLINK("http://slimages.macys.com/is/image/MCY/13830987 ")</f>
        <v xml:space="preserve">http://slimages.macys.com/is/image/MCY/13830987 </v>
      </c>
    </row>
    <row r="388" spans="1:12" x14ac:dyDescent="0.25">
      <c r="A388" s="6" t="s">
        <v>2071</v>
      </c>
      <c r="B388" s="3" t="s">
        <v>6223</v>
      </c>
      <c r="C388" s="4">
        <v>2</v>
      </c>
      <c r="D388" s="5">
        <v>79.98</v>
      </c>
      <c r="E388" s="4" t="s">
        <v>6224</v>
      </c>
      <c r="F388" s="3" t="s">
        <v>6217</v>
      </c>
      <c r="G388" s="7" t="s">
        <v>5533</v>
      </c>
      <c r="H388" s="3" t="s">
        <v>5978</v>
      </c>
      <c r="I388" s="3" t="s">
        <v>5979</v>
      </c>
      <c r="J388" s="3" t="s">
        <v>5536</v>
      </c>
      <c r="K388" s="3" t="s">
        <v>5574</v>
      </c>
      <c r="L388" s="8" t="str">
        <f>HYPERLINK("http://slimages.macys.com/is/image/MCY/13830987 ")</f>
        <v xml:space="preserve">http://slimages.macys.com/is/image/MCY/13830987 </v>
      </c>
    </row>
    <row r="389" spans="1:12" ht="24.75" x14ac:dyDescent="0.25">
      <c r="A389" s="6" t="s">
        <v>2072</v>
      </c>
      <c r="B389" s="3" t="s">
        <v>2073</v>
      </c>
      <c r="C389" s="4">
        <v>1</v>
      </c>
      <c r="D389" s="5">
        <v>39.99</v>
      </c>
      <c r="E389" s="4">
        <v>10007047400</v>
      </c>
      <c r="F389" s="3" t="s">
        <v>5977</v>
      </c>
      <c r="G389" s="7" t="s">
        <v>5311</v>
      </c>
      <c r="H389" s="3" t="s">
        <v>6522</v>
      </c>
      <c r="I389" s="3" t="s">
        <v>4828</v>
      </c>
      <c r="J389" s="3" t="s">
        <v>5536</v>
      </c>
      <c r="K389" s="3" t="s">
        <v>5727</v>
      </c>
      <c r="L389" s="8" t="str">
        <f>HYPERLINK("http://slimages.macys.com/is/image/MCY/15646601 ")</f>
        <v xml:space="preserve">http://slimages.macys.com/is/image/MCY/15646601 </v>
      </c>
    </row>
    <row r="390" spans="1:12" x14ac:dyDescent="0.25">
      <c r="A390" s="6" t="s">
        <v>2074</v>
      </c>
      <c r="B390" s="3" t="s">
        <v>2345</v>
      </c>
      <c r="C390" s="4">
        <v>1</v>
      </c>
      <c r="D390" s="5">
        <v>39.99</v>
      </c>
      <c r="E390" s="4" t="s">
        <v>2346</v>
      </c>
      <c r="F390" s="3" t="s">
        <v>6983</v>
      </c>
      <c r="G390" s="7" t="s">
        <v>5533</v>
      </c>
      <c r="H390" s="3" t="s">
        <v>6003</v>
      </c>
      <c r="I390" s="3" t="s">
        <v>6004</v>
      </c>
      <c r="J390" s="3" t="s">
        <v>5536</v>
      </c>
      <c r="K390" s="3" t="s">
        <v>2347</v>
      </c>
      <c r="L390" s="8" t="str">
        <f>HYPERLINK("http://slimages.macys.com/is/image/MCY/14336141 ")</f>
        <v xml:space="preserve">http://slimages.macys.com/is/image/MCY/14336141 </v>
      </c>
    </row>
    <row r="391" spans="1:12" x14ac:dyDescent="0.25">
      <c r="A391" s="6" t="s">
        <v>2075</v>
      </c>
      <c r="B391" s="3" t="s">
        <v>2345</v>
      </c>
      <c r="C391" s="4">
        <v>1</v>
      </c>
      <c r="D391" s="5">
        <v>39.99</v>
      </c>
      <c r="E391" s="4" t="s">
        <v>2346</v>
      </c>
      <c r="F391" s="3" t="s">
        <v>5578</v>
      </c>
      <c r="G391" s="7" t="s">
        <v>5560</v>
      </c>
      <c r="H391" s="3" t="s">
        <v>6003</v>
      </c>
      <c r="I391" s="3" t="s">
        <v>6004</v>
      </c>
      <c r="J391" s="3" t="s">
        <v>5536</v>
      </c>
      <c r="K391" s="3" t="s">
        <v>2347</v>
      </c>
      <c r="L391" s="8" t="str">
        <f>HYPERLINK("http://slimages.macys.com/is/image/MCY/14336141 ")</f>
        <v xml:space="preserve">http://slimages.macys.com/is/image/MCY/14336141 </v>
      </c>
    </row>
    <row r="392" spans="1:12" ht="24.75" x14ac:dyDescent="0.25">
      <c r="A392" s="6" t="s">
        <v>2076</v>
      </c>
      <c r="B392" s="3" t="s">
        <v>2077</v>
      </c>
      <c r="C392" s="4">
        <v>1</v>
      </c>
      <c r="D392" s="5">
        <v>45</v>
      </c>
      <c r="E392" s="4">
        <v>100082721</v>
      </c>
      <c r="F392" s="3" t="s">
        <v>5532</v>
      </c>
      <c r="G392" s="7" t="s">
        <v>5533</v>
      </c>
      <c r="H392" s="3" t="s">
        <v>6019</v>
      </c>
      <c r="I392" s="3" t="s">
        <v>6020</v>
      </c>
      <c r="J392" s="3" t="s">
        <v>5536</v>
      </c>
      <c r="K392" s="3" t="s">
        <v>5574</v>
      </c>
      <c r="L392" s="8" t="str">
        <f>HYPERLINK("http://slimages.macys.com/is/image/MCY/15241716 ")</f>
        <v xml:space="preserve">http://slimages.macys.com/is/image/MCY/15241716 </v>
      </c>
    </row>
    <row r="393" spans="1:12" ht="24.75" x14ac:dyDescent="0.25">
      <c r="A393" s="6" t="s">
        <v>2078</v>
      </c>
      <c r="B393" s="3" t="s">
        <v>2079</v>
      </c>
      <c r="C393" s="4">
        <v>1</v>
      </c>
      <c r="D393" s="5">
        <v>25</v>
      </c>
      <c r="E393" s="4" t="s">
        <v>2080</v>
      </c>
      <c r="F393" s="3" t="s">
        <v>5552</v>
      </c>
      <c r="G393" s="7"/>
      <c r="H393" s="3" t="s">
        <v>5825</v>
      </c>
      <c r="I393" s="3" t="s">
        <v>6265</v>
      </c>
      <c r="J393" s="3" t="s">
        <v>5536</v>
      </c>
      <c r="K393" s="3" t="s">
        <v>6266</v>
      </c>
      <c r="L393" s="8" t="str">
        <f>HYPERLINK("http://slimages.macys.com/is/image/MCY/15216829 ")</f>
        <v xml:space="preserve">http://slimages.macys.com/is/image/MCY/15216829 </v>
      </c>
    </row>
    <row r="394" spans="1:12" ht="24.75" x14ac:dyDescent="0.25">
      <c r="A394" s="6" t="s">
        <v>2081</v>
      </c>
      <c r="B394" s="3" t="s">
        <v>2082</v>
      </c>
      <c r="C394" s="4">
        <v>1</v>
      </c>
      <c r="D394" s="5">
        <v>40</v>
      </c>
      <c r="E394" s="4" t="s">
        <v>2083</v>
      </c>
      <c r="F394" s="3" t="s">
        <v>5532</v>
      </c>
      <c r="G394" s="7" t="s">
        <v>5533</v>
      </c>
      <c r="H394" s="3" t="s">
        <v>6019</v>
      </c>
      <c r="I394" s="3" t="s">
        <v>6020</v>
      </c>
      <c r="J394" s="3" t="s">
        <v>5536</v>
      </c>
      <c r="K394" s="3" t="s">
        <v>5549</v>
      </c>
      <c r="L394" s="8" t="str">
        <f>HYPERLINK("http://slimages.macys.com/is/image/MCY/15629292 ")</f>
        <v xml:space="preserve">http://slimages.macys.com/is/image/MCY/15629292 </v>
      </c>
    </row>
    <row r="395" spans="1:12" x14ac:dyDescent="0.25">
      <c r="A395" s="6" t="s">
        <v>2084</v>
      </c>
      <c r="B395" s="3" t="s">
        <v>4880</v>
      </c>
      <c r="C395" s="4">
        <v>2</v>
      </c>
      <c r="D395" s="5">
        <v>75.98</v>
      </c>
      <c r="E395" s="4" t="s">
        <v>4881</v>
      </c>
      <c r="F395" s="3" t="s">
        <v>5540</v>
      </c>
      <c r="G395" s="7" t="s">
        <v>5596</v>
      </c>
      <c r="H395" s="3" t="s">
        <v>6065</v>
      </c>
      <c r="I395" s="3" t="s">
        <v>6066</v>
      </c>
      <c r="J395" s="3" t="s">
        <v>5536</v>
      </c>
      <c r="K395" s="3" t="s">
        <v>5594</v>
      </c>
      <c r="L395" s="8" t="str">
        <f>HYPERLINK("http://slimages.macys.com/is/image/MCY/13905015 ")</f>
        <v xml:space="preserve">http://slimages.macys.com/is/image/MCY/13905015 </v>
      </c>
    </row>
    <row r="396" spans="1:12" x14ac:dyDescent="0.25">
      <c r="A396" s="6" t="s">
        <v>2085</v>
      </c>
      <c r="B396" s="3" t="s">
        <v>4880</v>
      </c>
      <c r="C396" s="4">
        <v>1</v>
      </c>
      <c r="D396" s="5">
        <v>37.99</v>
      </c>
      <c r="E396" s="4" t="s">
        <v>4881</v>
      </c>
      <c r="F396" s="3" t="s">
        <v>5540</v>
      </c>
      <c r="G396" s="7" t="s">
        <v>5562</v>
      </c>
      <c r="H396" s="3" t="s">
        <v>6065</v>
      </c>
      <c r="I396" s="3" t="s">
        <v>6066</v>
      </c>
      <c r="J396" s="3" t="s">
        <v>5536</v>
      </c>
      <c r="K396" s="3" t="s">
        <v>5594</v>
      </c>
      <c r="L396" s="8" t="str">
        <f>HYPERLINK("http://slimages.macys.com/is/image/MCY/13905015 ")</f>
        <v xml:space="preserve">http://slimages.macys.com/is/image/MCY/13905015 </v>
      </c>
    </row>
    <row r="397" spans="1:12" ht="24.75" x14ac:dyDescent="0.25">
      <c r="A397" s="6" t="s">
        <v>2086</v>
      </c>
      <c r="B397" s="3" t="s">
        <v>2087</v>
      </c>
      <c r="C397" s="4">
        <v>1</v>
      </c>
      <c r="D397" s="5">
        <v>28</v>
      </c>
      <c r="E397" s="4">
        <v>100010862</v>
      </c>
      <c r="F397" s="3" t="s">
        <v>5783</v>
      </c>
      <c r="G397" s="7" t="s">
        <v>5835</v>
      </c>
      <c r="H397" s="3" t="s">
        <v>5825</v>
      </c>
      <c r="I397" s="3" t="s">
        <v>5826</v>
      </c>
      <c r="J397" s="3" t="s">
        <v>5536</v>
      </c>
      <c r="K397" s="3" t="s">
        <v>5594</v>
      </c>
      <c r="L397" s="8" t="str">
        <f>HYPERLINK("http://slimages.macys.com/is/image/MCY/9267353 ")</f>
        <v xml:space="preserve">http://slimages.macys.com/is/image/MCY/9267353 </v>
      </c>
    </row>
    <row r="398" spans="1:12" x14ac:dyDescent="0.25">
      <c r="A398" s="6" t="s">
        <v>2088</v>
      </c>
      <c r="B398" s="3" t="s">
        <v>2352</v>
      </c>
      <c r="C398" s="4">
        <v>1</v>
      </c>
      <c r="D398" s="5">
        <v>39.99</v>
      </c>
      <c r="E398" s="4" t="s">
        <v>2353</v>
      </c>
      <c r="F398" s="3" t="s">
        <v>5532</v>
      </c>
      <c r="G398" s="7" t="s">
        <v>5560</v>
      </c>
      <c r="H398" s="3" t="s">
        <v>5978</v>
      </c>
      <c r="I398" s="3" t="s">
        <v>5979</v>
      </c>
      <c r="J398" s="3" t="s">
        <v>5536</v>
      </c>
      <c r="K398" s="3" t="s">
        <v>5594</v>
      </c>
      <c r="L398" s="8" t="str">
        <f>HYPERLINK("http://slimages.macys.com/is/image/MCY/15250591 ")</f>
        <v xml:space="preserve">http://slimages.macys.com/is/image/MCY/15250591 </v>
      </c>
    </row>
    <row r="399" spans="1:12" x14ac:dyDescent="0.25">
      <c r="A399" s="6" t="s">
        <v>2089</v>
      </c>
      <c r="B399" s="3" t="s">
        <v>2352</v>
      </c>
      <c r="C399" s="4">
        <v>1</v>
      </c>
      <c r="D399" s="5">
        <v>39.99</v>
      </c>
      <c r="E399" s="4" t="s">
        <v>2353</v>
      </c>
      <c r="F399" s="3" t="s">
        <v>5540</v>
      </c>
      <c r="G399" s="7" t="s">
        <v>5598</v>
      </c>
      <c r="H399" s="3" t="s">
        <v>5978</v>
      </c>
      <c r="I399" s="3" t="s">
        <v>5979</v>
      </c>
      <c r="J399" s="3" t="s">
        <v>5536</v>
      </c>
      <c r="K399" s="3" t="s">
        <v>5594</v>
      </c>
      <c r="L399" s="8" t="str">
        <f>HYPERLINK("http://slimages.macys.com/is/image/MCY/15250591 ")</f>
        <v xml:space="preserve">http://slimages.macys.com/is/image/MCY/15250591 </v>
      </c>
    </row>
    <row r="400" spans="1:12" x14ac:dyDescent="0.25">
      <c r="A400" s="6" t="s">
        <v>2090</v>
      </c>
      <c r="B400" s="3" t="s">
        <v>6237</v>
      </c>
      <c r="C400" s="4">
        <v>1</v>
      </c>
      <c r="D400" s="5">
        <v>37.99</v>
      </c>
      <c r="E400" s="4" t="s">
        <v>6238</v>
      </c>
      <c r="F400" s="3" t="s">
        <v>5540</v>
      </c>
      <c r="G400" s="7" t="s">
        <v>5582</v>
      </c>
      <c r="H400" s="3" t="s">
        <v>6065</v>
      </c>
      <c r="I400" s="3" t="s">
        <v>6066</v>
      </c>
      <c r="J400" s="3" t="s">
        <v>5536</v>
      </c>
      <c r="K400" s="3" t="s">
        <v>5553</v>
      </c>
      <c r="L400" s="8" t="str">
        <f>HYPERLINK("http://slimages.macys.com/is/image/MCY/8701849 ")</f>
        <v xml:space="preserve">http://slimages.macys.com/is/image/MCY/8701849 </v>
      </c>
    </row>
    <row r="401" spans="1:12" ht="24.75" x14ac:dyDescent="0.25">
      <c r="A401" s="6" t="s">
        <v>2091</v>
      </c>
      <c r="B401" s="3" t="s">
        <v>2092</v>
      </c>
      <c r="C401" s="4">
        <v>1</v>
      </c>
      <c r="D401" s="5">
        <v>27.99</v>
      </c>
      <c r="E401" s="4" t="s">
        <v>2093</v>
      </c>
      <c r="F401" s="3" t="s">
        <v>5815</v>
      </c>
      <c r="G401" s="7"/>
      <c r="H401" s="3" t="s">
        <v>6280</v>
      </c>
      <c r="I401" s="3" t="s">
        <v>4889</v>
      </c>
      <c r="J401" s="3" t="s">
        <v>5536</v>
      </c>
      <c r="K401" s="3" t="s">
        <v>6303</v>
      </c>
      <c r="L401" s="8" t="str">
        <f>HYPERLINK("http://slimages.macys.com/is/image/MCY/9022556 ")</f>
        <v xml:space="preserve">http://slimages.macys.com/is/image/MCY/9022556 </v>
      </c>
    </row>
    <row r="402" spans="1:12" ht="24.75" x14ac:dyDescent="0.25">
      <c r="A402" s="6" t="s">
        <v>2094</v>
      </c>
      <c r="B402" s="3" t="s">
        <v>2095</v>
      </c>
      <c r="C402" s="4">
        <v>1</v>
      </c>
      <c r="D402" s="5">
        <v>39.99</v>
      </c>
      <c r="E402" s="4">
        <v>10005632100</v>
      </c>
      <c r="F402" s="3" t="s">
        <v>5977</v>
      </c>
      <c r="G402" s="7" t="s">
        <v>5596</v>
      </c>
      <c r="H402" s="3" t="s">
        <v>6522</v>
      </c>
      <c r="I402" s="3" t="s">
        <v>4828</v>
      </c>
      <c r="J402" s="3" t="s">
        <v>5536</v>
      </c>
      <c r="K402" s="3" t="s">
        <v>5727</v>
      </c>
      <c r="L402" s="8" t="str">
        <f>HYPERLINK("http://slimages.macys.com/is/image/MCY/11464459 ")</f>
        <v xml:space="preserve">http://slimages.macys.com/is/image/MCY/11464459 </v>
      </c>
    </row>
    <row r="403" spans="1:12" ht="24.75" x14ac:dyDescent="0.25">
      <c r="A403" s="6" t="s">
        <v>2096</v>
      </c>
      <c r="B403" s="3" t="s">
        <v>2097</v>
      </c>
      <c r="C403" s="4">
        <v>1</v>
      </c>
      <c r="D403" s="5">
        <v>28</v>
      </c>
      <c r="E403" s="4" t="s">
        <v>2098</v>
      </c>
      <c r="F403" s="3" t="s">
        <v>5578</v>
      </c>
      <c r="G403" s="7"/>
      <c r="H403" s="3" t="s">
        <v>5825</v>
      </c>
      <c r="I403" s="3" t="s">
        <v>6673</v>
      </c>
      <c r="J403" s="3" t="s">
        <v>5536</v>
      </c>
      <c r="K403" s="3" t="s">
        <v>5574</v>
      </c>
      <c r="L403" s="8" t="str">
        <f>HYPERLINK("http://slimages.macys.com/is/image/MCY/12038088 ")</f>
        <v xml:space="preserve">http://slimages.macys.com/is/image/MCY/12038088 </v>
      </c>
    </row>
    <row r="404" spans="1:12" ht="24.75" x14ac:dyDescent="0.25">
      <c r="A404" s="6" t="s">
        <v>3745</v>
      </c>
      <c r="B404" s="3" t="s">
        <v>4947</v>
      </c>
      <c r="C404" s="4">
        <v>1</v>
      </c>
      <c r="D404" s="5">
        <v>25</v>
      </c>
      <c r="E404" s="4" t="s">
        <v>4948</v>
      </c>
      <c r="F404" s="3" t="s">
        <v>5661</v>
      </c>
      <c r="G404" s="7"/>
      <c r="H404" s="3" t="s">
        <v>5825</v>
      </c>
      <c r="I404" s="3" t="s">
        <v>6265</v>
      </c>
      <c r="J404" s="3" t="s">
        <v>5536</v>
      </c>
      <c r="K404" s="3" t="s">
        <v>6266</v>
      </c>
      <c r="L404" s="8" t="str">
        <f>HYPERLINK("http://slimages.macys.com/is/image/MCY/9870334 ")</f>
        <v xml:space="preserve">http://slimages.macys.com/is/image/MCY/9870334 </v>
      </c>
    </row>
    <row r="405" spans="1:12" ht="24.75" x14ac:dyDescent="0.25">
      <c r="A405" s="6" t="s">
        <v>2371</v>
      </c>
      <c r="B405" s="3" t="s">
        <v>2369</v>
      </c>
      <c r="C405" s="4">
        <v>1</v>
      </c>
      <c r="D405" s="5">
        <v>25</v>
      </c>
      <c r="E405" s="4" t="s">
        <v>2370</v>
      </c>
      <c r="F405" s="3" t="s">
        <v>5552</v>
      </c>
      <c r="G405" s="7"/>
      <c r="H405" s="3" t="s">
        <v>5825</v>
      </c>
      <c r="I405" s="3" t="s">
        <v>6265</v>
      </c>
      <c r="J405" s="3" t="s">
        <v>5536</v>
      </c>
      <c r="K405" s="3" t="s">
        <v>6266</v>
      </c>
      <c r="L405" s="8" t="str">
        <f>HYPERLINK("http://slimages.macys.com/is/image/MCY/13769557 ")</f>
        <v xml:space="preserve">http://slimages.macys.com/is/image/MCY/13769557 </v>
      </c>
    </row>
    <row r="406" spans="1:12" ht="24.75" x14ac:dyDescent="0.25">
      <c r="A406" s="6" t="s">
        <v>2099</v>
      </c>
      <c r="B406" s="3" t="s">
        <v>2369</v>
      </c>
      <c r="C406" s="4">
        <v>1</v>
      </c>
      <c r="D406" s="5">
        <v>25</v>
      </c>
      <c r="E406" s="4" t="s">
        <v>2370</v>
      </c>
      <c r="F406" s="3" t="s">
        <v>5552</v>
      </c>
      <c r="G406" s="7"/>
      <c r="H406" s="3" t="s">
        <v>5825</v>
      </c>
      <c r="I406" s="3" t="s">
        <v>6265</v>
      </c>
      <c r="J406" s="3" t="s">
        <v>5536</v>
      </c>
      <c r="K406" s="3" t="s">
        <v>6266</v>
      </c>
      <c r="L406" s="8" t="str">
        <f>HYPERLINK("http://slimages.macys.com/is/image/MCY/13769557 ")</f>
        <v xml:space="preserve">http://slimages.macys.com/is/image/MCY/13769557 </v>
      </c>
    </row>
    <row r="407" spans="1:12" ht="24.75" x14ac:dyDescent="0.25">
      <c r="A407" s="6" t="s">
        <v>2100</v>
      </c>
      <c r="B407" s="3" t="s">
        <v>2369</v>
      </c>
      <c r="C407" s="4">
        <v>1</v>
      </c>
      <c r="D407" s="5">
        <v>25</v>
      </c>
      <c r="E407" s="4" t="s">
        <v>2370</v>
      </c>
      <c r="F407" s="3" t="s">
        <v>5552</v>
      </c>
      <c r="G407" s="7"/>
      <c r="H407" s="3" t="s">
        <v>5825</v>
      </c>
      <c r="I407" s="3" t="s">
        <v>6265</v>
      </c>
      <c r="J407" s="3" t="s">
        <v>5536</v>
      </c>
      <c r="K407" s="3" t="s">
        <v>6266</v>
      </c>
      <c r="L407" s="8" t="str">
        <f>HYPERLINK("http://slimages.macys.com/is/image/MCY/13769557 ")</f>
        <v xml:space="preserve">http://slimages.macys.com/is/image/MCY/13769557 </v>
      </c>
    </row>
    <row r="408" spans="1:12" ht="24.75" x14ac:dyDescent="0.25">
      <c r="A408" s="6" t="s">
        <v>2101</v>
      </c>
      <c r="B408" s="3" t="s">
        <v>2369</v>
      </c>
      <c r="C408" s="4">
        <v>2</v>
      </c>
      <c r="D408" s="5">
        <v>50</v>
      </c>
      <c r="E408" s="4" t="s">
        <v>2370</v>
      </c>
      <c r="F408" s="3" t="s">
        <v>5552</v>
      </c>
      <c r="G408" s="7"/>
      <c r="H408" s="3" t="s">
        <v>5825</v>
      </c>
      <c r="I408" s="3" t="s">
        <v>6265</v>
      </c>
      <c r="J408" s="3" t="s">
        <v>5536</v>
      </c>
      <c r="K408" s="3" t="s">
        <v>6266</v>
      </c>
      <c r="L408" s="8" t="str">
        <f>HYPERLINK("http://slimages.macys.com/is/image/MCY/13769557 ")</f>
        <v xml:space="preserve">http://slimages.macys.com/is/image/MCY/13769557 </v>
      </c>
    </row>
    <row r="409" spans="1:12" ht="24.75" x14ac:dyDescent="0.25">
      <c r="A409" s="6" t="s">
        <v>2372</v>
      </c>
      <c r="B409" s="3" t="s">
        <v>2369</v>
      </c>
      <c r="C409" s="4">
        <v>1</v>
      </c>
      <c r="D409" s="5">
        <v>25</v>
      </c>
      <c r="E409" s="4" t="s">
        <v>2370</v>
      </c>
      <c r="F409" s="3" t="s">
        <v>5552</v>
      </c>
      <c r="G409" s="7"/>
      <c r="H409" s="3" t="s">
        <v>5825</v>
      </c>
      <c r="I409" s="3" t="s">
        <v>6265</v>
      </c>
      <c r="J409" s="3" t="s">
        <v>5536</v>
      </c>
      <c r="K409" s="3" t="s">
        <v>6266</v>
      </c>
      <c r="L409" s="8" t="str">
        <f>HYPERLINK("http://slimages.macys.com/is/image/MCY/13769557 ")</f>
        <v xml:space="preserve">http://slimages.macys.com/is/image/MCY/13769557 </v>
      </c>
    </row>
    <row r="410" spans="1:12" ht="24.75" x14ac:dyDescent="0.25">
      <c r="A410" s="6" t="s">
        <v>2102</v>
      </c>
      <c r="B410" s="3" t="s">
        <v>2103</v>
      </c>
      <c r="C410" s="4">
        <v>1</v>
      </c>
      <c r="D410" s="5">
        <v>34.299999999999997</v>
      </c>
      <c r="E410" s="4" t="s">
        <v>2104</v>
      </c>
      <c r="F410" s="3" t="s">
        <v>5964</v>
      </c>
      <c r="G410" s="7" t="s">
        <v>6170</v>
      </c>
      <c r="H410" s="3" t="s">
        <v>6131</v>
      </c>
      <c r="I410" s="3" t="s">
        <v>6204</v>
      </c>
      <c r="J410" s="3" t="s">
        <v>5536</v>
      </c>
      <c r="K410" s="3" t="s">
        <v>6133</v>
      </c>
      <c r="L410" s="8" t="str">
        <f>HYPERLINK("http://slimages.macys.com/is/image/MCY/1104621 ")</f>
        <v xml:space="preserve">http://slimages.macys.com/is/image/MCY/1104621 </v>
      </c>
    </row>
    <row r="411" spans="1:12" x14ac:dyDescent="0.25">
      <c r="A411" s="6" t="s">
        <v>2105</v>
      </c>
      <c r="B411" s="3" t="s">
        <v>2374</v>
      </c>
      <c r="C411" s="4">
        <v>1</v>
      </c>
      <c r="D411" s="5">
        <v>39.99</v>
      </c>
      <c r="E411" s="4" t="s">
        <v>2375</v>
      </c>
      <c r="F411" s="3" t="s">
        <v>5578</v>
      </c>
      <c r="G411" s="7" t="s">
        <v>5533</v>
      </c>
      <c r="H411" s="3" t="s">
        <v>6003</v>
      </c>
      <c r="I411" s="3" t="s">
        <v>6004</v>
      </c>
      <c r="J411" s="3" t="s">
        <v>5536</v>
      </c>
      <c r="K411" s="3" t="s">
        <v>5594</v>
      </c>
      <c r="L411" s="8" t="str">
        <f>HYPERLINK("http://slimages.macys.com/is/image/MCY/15384455 ")</f>
        <v xml:space="preserve">http://slimages.macys.com/is/image/MCY/15384455 </v>
      </c>
    </row>
    <row r="412" spans="1:12" x14ac:dyDescent="0.25">
      <c r="A412" s="6" t="s">
        <v>2106</v>
      </c>
      <c r="B412" s="3" t="s">
        <v>3166</v>
      </c>
      <c r="C412" s="4">
        <v>1</v>
      </c>
      <c r="D412" s="5">
        <v>49.5</v>
      </c>
      <c r="E412" s="4">
        <v>100082399</v>
      </c>
      <c r="F412" s="3" t="s">
        <v>5540</v>
      </c>
      <c r="G412" s="7" t="s">
        <v>5562</v>
      </c>
      <c r="H412" s="3" t="s">
        <v>5585</v>
      </c>
      <c r="I412" s="3" t="s">
        <v>5734</v>
      </c>
      <c r="J412" s="3" t="s">
        <v>5536</v>
      </c>
      <c r="K412" s="3" t="s">
        <v>3167</v>
      </c>
      <c r="L412" s="8" t="str">
        <f>HYPERLINK("http://slimages.macys.com/is/image/MCY/15905139 ")</f>
        <v xml:space="preserve">http://slimages.macys.com/is/image/MCY/15905139 </v>
      </c>
    </row>
    <row r="413" spans="1:12" ht="24.75" x14ac:dyDescent="0.25">
      <c r="A413" s="6" t="s">
        <v>2107</v>
      </c>
      <c r="B413" s="3" t="s">
        <v>2108</v>
      </c>
      <c r="C413" s="4">
        <v>1</v>
      </c>
      <c r="D413" s="5">
        <v>36.99</v>
      </c>
      <c r="E413" s="4">
        <v>5273614</v>
      </c>
      <c r="F413" s="3" t="s">
        <v>5820</v>
      </c>
      <c r="G413" s="7" t="s">
        <v>5596</v>
      </c>
      <c r="H413" s="3" t="s">
        <v>3963</v>
      </c>
      <c r="I413" s="3" t="s">
        <v>3757</v>
      </c>
      <c r="J413" s="3" t="s">
        <v>5536</v>
      </c>
      <c r="K413" s="3" t="s">
        <v>5574</v>
      </c>
      <c r="L413" s="8" t="str">
        <f>HYPERLINK("http://slimages.macys.com/is/image/MCY/13838576 ")</f>
        <v xml:space="preserve">http://slimages.macys.com/is/image/MCY/13838576 </v>
      </c>
    </row>
    <row r="414" spans="1:12" x14ac:dyDescent="0.25">
      <c r="A414" s="6" t="s">
        <v>2109</v>
      </c>
      <c r="B414" s="3" t="s">
        <v>3166</v>
      </c>
      <c r="C414" s="4">
        <v>1</v>
      </c>
      <c r="D414" s="5">
        <v>49.5</v>
      </c>
      <c r="E414" s="4">
        <v>100082399</v>
      </c>
      <c r="F414" s="3" t="s">
        <v>5977</v>
      </c>
      <c r="G414" s="7" t="s">
        <v>5596</v>
      </c>
      <c r="H414" s="3" t="s">
        <v>5585</v>
      </c>
      <c r="I414" s="3" t="s">
        <v>5734</v>
      </c>
      <c r="J414" s="3" t="s">
        <v>5536</v>
      </c>
      <c r="K414" s="3" t="s">
        <v>3167</v>
      </c>
      <c r="L414" s="8" t="str">
        <f>HYPERLINK("http://slimages.macys.com/is/image/MCY/15905139 ")</f>
        <v xml:space="preserve">http://slimages.macys.com/is/image/MCY/15905139 </v>
      </c>
    </row>
    <row r="415" spans="1:12" ht="24.75" x14ac:dyDescent="0.25">
      <c r="A415" s="6" t="s">
        <v>2110</v>
      </c>
      <c r="B415" s="3" t="s">
        <v>3170</v>
      </c>
      <c r="C415" s="4">
        <v>1</v>
      </c>
      <c r="D415" s="5">
        <v>49.5</v>
      </c>
      <c r="E415" s="4">
        <v>100012312</v>
      </c>
      <c r="F415" s="3" t="s">
        <v>6983</v>
      </c>
      <c r="G415" s="7" t="s">
        <v>5733</v>
      </c>
      <c r="H415" s="3" t="s">
        <v>5585</v>
      </c>
      <c r="I415" s="3" t="s">
        <v>5586</v>
      </c>
      <c r="J415" s="3" t="s">
        <v>5536</v>
      </c>
      <c r="K415" s="3" t="s">
        <v>5594</v>
      </c>
      <c r="L415" s="8" t="str">
        <f>HYPERLINK("http://slimages.macys.com/is/image/MCY/12460157 ")</f>
        <v xml:space="preserve">http://slimages.macys.com/is/image/MCY/12460157 </v>
      </c>
    </row>
    <row r="416" spans="1:12" x14ac:dyDescent="0.25">
      <c r="A416" s="6" t="s">
        <v>2111</v>
      </c>
      <c r="B416" s="3" t="s">
        <v>2112</v>
      </c>
      <c r="C416" s="4">
        <v>1</v>
      </c>
      <c r="D416" s="5">
        <v>34.99</v>
      </c>
      <c r="E416" s="4" t="s">
        <v>2113</v>
      </c>
      <c r="F416" s="3" t="s">
        <v>5552</v>
      </c>
      <c r="G416" s="7" t="s">
        <v>5598</v>
      </c>
      <c r="H416" s="3" t="s">
        <v>6003</v>
      </c>
      <c r="I416" s="3" t="s">
        <v>6004</v>
      </c>
      <c r="J416" s="3" t="s">
        <v>5536</v>
      </c>
      <c r="K416" s="3" t="s">
        <v>6021</v>
      </c>
      <c r="L416" s="8" t="str">
        <f>HYPERLINK("http://slimages.macys.com/is/image/MCY/13828326 ")</f>
        <v xml:space="preserve">http://slimages.macys.com/is/image/MCY/13828326 </v>
      </c>
    </row>
    <row r="417" spans="1:12" ht="24.75" x14ac:dyDescent="0.25">
      <c r="A417" s="6" t="s">
        <v>3758</v>
      </c>
      <c r="B417" s="3" t="s">
        <v>6263</v>
      </c>
      <c r="C417" s="4">
        <v>1</v>
      </c>
      <c r="D417" s="5">
        <v>25.5</v>
      </c>
      <c r="E417" s="4" t="s">
        <v>6264</v>
      </c>
      <c r="F417" s="3" t="s">
        <v>6217</v>
      </c>
      <c r="G417" s="7"/>
      <c r="H417" s="3" t="s">
        <v>5825</v>
      </c>
      <c r="I417" s="3" t="s">
        <v>6265</v>
      </c>
      <c r="J417" s="3" t="s">
        <v>5536</v>
      </c>
      <c r="K417" s="3" t="s">
        <v>6266</v>
      </c>
      <c r="L417" s="8" t="str">
        <f t="shared" ref="L417:L422" si="3">HYPERLINK("http://slimages.macys.com/is/image/MCY/11518029 ")</f>
        <v xml:space="preserve">http://slimages.macys.com/is/image/MCY/11518029 </v>
      </c>
    </row>
    <row r="418" spans="1:12" ht="24.75" x14ac:dyDescent="0.25">
      <c r="A418" s="6" t="s">
        <v>6267</v>
      </c>
      <c r="B418" s="3" t="s">
        <v>6263</v>
      </c>
      <c r="C418" s="4">
        <v>1</v>
      </c>
      <c r="D418" s="5">
        <v>25.5</v>
      </c>
      <c r="E418" s="4" t="s">
        <v>6264</v>
      </c>
      <c r="F418" s="3" t="s">
        <v>5578</v>
      </c>
      <c r="G418" s="7"/>
      <c r="H418" s="3" t="s">
        <v>5825</v>
      </c>
      <c r="I418" s="3" t="s">
        <v>6265</v>
      </c>
      <c r="J418" s="3" t="s">
        <v>5536</v>
      </c>
      <c r="K418" s="3" t="s">
        <v>6266</v>
      </c>
      <c r="L418" s="8" t="str">
        <f t="shared" si="3"/>
        <v xml:space="preserve">http://slimages.macys.com/is/image/MCY/11518029 </v>
      </c>
    </row>
    <row r="419" spans="1:12" ht="24.75" x14ac:dyDescent="0.25">
      <c r="A419" s="6" t="s">
        <v>6262</v>
      </c>
      <c r="B419" s="3" t="s">
        <v>6263</v>
      </c>
      <c r="C419" s="4">
        <v>2</v>
      </c>
      <c r="D419" s="5">
        <v>51</v>
      </c>
      <c r="E419" s="4" t="s">
        <v>6264</v>
      </c>
      <c r="F419" s="3" t="s">
        <v>5578</v>
      </c>
      <c r="G419" s="7"/>
      <c r="H419" s="3" t="s">
        <v>5825</v>
      </c>
      <c r="I419" s="3" t="s">
        <v>6265</v>
      </c>
      <c r="J419" s="3" t="s">
        <v>5536</v>
      </c>
      <c r="K419" s="3" t="s">
        <v>6266</v>
      </c>
      <c r="L419" s="8" t="str">
        <f t="shared" si="3"/>
        <v xml:space="preserve">http://slimages.macys.com/is/image/MCY/11518029 </v>
      </c>
    </row>
    <row r="420" spans="1:12" ht="24.75" x14ac:dyDescent="0.25">
      <c r="A420" s="6" t="s">
        <v>3761</v>
      </c>
      <c r="B420" s="3" t="s">
        <v>6263</v>
      </c>
      <c r="C420" s="4">
        <v>2</v>
      </c>
      <c r="D420" s="5">
        <v>51</v>
      </c>
      <c r="E420" s="4" t="s">
        <v>6264</v>
      </c>
      <c r="F420" s="3" t="s">
        <v>5578</v>
      </c>
      <c r="G420" s="7"/>
      <c r="H420" s="3" t="s">
        <v>5825</v>
      </c>
      <c r="I420" s="3" t="s">
        <v>6265</v>
      </c>
      <c r="J420" s="3" t="s">
        <v>5536</v>
      </c>
      <c r="K420" s="3" t="s">
        <v>6266</v>
      </c>
      <c r="L420" s="8" t="str">
        <f t="shared" si="3"/>
        <v xml:space="preserve">http://slimages.macys.com/is/image/MCY/11518029 </v>
      </c>
    </row>
    <row r="421" spans="1:12" ht="24.75" x14ac:dyDescent="0.25">
      <c r="A421" s="6" t="s">
        <v>2114</v>
      </c>
      <c r="B421" s="3" t="s">
        <v>6263</v>
      </c>
      <c r="C421" s="4">
        <v>1</v>
      </c>
      <c r="D421" s="5">
        <v>25.5</v>
      </c>
      <c r="E421" s="4" t="s">
        <v>6264</v>
      </c>
      <c r="F421" s="3" t="s">
        <v>6217</v>
      </c>
      <c r="G421" s="7"/>
      <c r="H421" s="3" t="s">
        <v>5825</v>
      </c>
      <c r="I421" s="3" t="s">
        <v>6265</v>
      </c>
      <c r="J421" s="3" t="s">
        <v>5536</v>
      </c>
      <c r="K421" s="3" t="s">
        <v>6266</v>
      </c>
      <c r="L421" s="8" t="str">
        <f t="shared" si="3"/>
        <v xml:space="preserve">http://slimages.macys.com/is/image/MCY/11518029 </v>
      </c>
    </row>
    <row r="422" spans="1:12" ht="24.75" x14ac:dyDescent="0.25">
      <c r="A422" s="6" t="s">
        <v>2115</v>
      </c>
      <c r="B422" s="3" t="s">
        <v>6263</v>
      </c>
      <c r="C422" s="4">
        <v>1</v>
      </c>
      <c r="D422" s="5">
        <v>25.5</v>
      </c>
      <c r="E422" s="4" t="s">
        <v>6264</v>
      </c>
      <c r="F422" s="3" t="s">
        <v>6335</v>
      </c>
      <c r="G422" s="7"/>
      <c r="H422" s="3" t="s">
        <v>5825</v>
      </c>
      <c r="I422" s="3" t="s">
        <v>6265</v>
      </c>
      <c r="J422" s="3" t="s">
        <v>5536</v>
      </c>
      <c r="K422" s="3" t="s">
        <v>6266</v>
      </c>
      <c r="L422" s="8" t="str">
        <f t="shared" si="3"/>
        <v xml:space="preserve">http://slimages.macys.com/is/image/MCY/11518029 </v>
      </c>
    </row>
    <row r="423" spans="1:12" x14ac:dyDescent="0.25">
      <c r="A423" s="6" t="s">
        <v>2116</v>
      </c>
      <c r="B423" s="3" t="s">
        <v>2117</v>
      </c>
      <c r="C423" s="4">
        <v>1</v>
      </c>
      <c r="D423" s="5">
        <v>39.99</v>
      </c>
      <c r="E423" s="4" t="s">
        <v>2118</v>
      </c>
      <c r="F423" s="3" t="s">
        <v>5820</v>
      </c>
      <c r="G423" s="7" t="s">
        <v>5799</v>
      </c>
      <c r="H423" s="3" t="s">
        <v>5978</v>
      </c>
      <c r="I423" s="3" t="s">
        <v>5979</v>
      </c>
      <c r="J423" s="3" t="s">
        <v>5536</v>
      </c>
      <c r="K423" s="3" t="s">
        <v>6021</v>
      </c>
      <c r="L423" s="8" t="str">
        <f t="shared" ref="L423:L430" si="4">HYPERLINK("http://slimages.macys.com/is/image/MCY/13313342 ")</f>
        <v xml:space="preserve">http://slimages.macys.com/is/image/MCY/13313342 </v>
      </c>
    </row>
    <row r="424" spans="1:12" x14ac:dyDescent="0.25">
      <c r="A424" s="6" t="s">
        <v>2119</v>
      </c>
      <c r="B424" s="3" t="s">
        <v>2117</v>
      </c>
      <c r="C424" s="4">
        <v>1</v>
      </c>
      <c r="D424" s="5">
        <v>39.99</v>
      </c>
      <c r="E424" s="4" t="s">
        <v>2118</v>
      </c>
      <c r="F424" s="3" t="s">
        <v>5820</v>
      </c>
      <c r="G424" s="7" t="s">
        <v>6500</v>
      </c>
      <c r="H424" s="3" t="s">
        <v>5978</v>
      </c>
      <c r="I424" s="3" t="s">
        <v>5979</v>
      </c>
      <c r="J424" s="3" t="s">
        <v>5536</v>
      </c>
      <c r="K424" s="3" t="s">
        <v>6021</v>
      </c>
      <c r="L424" s="8" t="str">
        <f t="shared" si="4"/>
        <v xml:space="preserve">http://slimages.macys.com/is/image/MCY/13313342 </v>
      </c>
    </row>
    <row r="425" spans="1:12" x14ac:dyDescent="0.25">
      <c r="A425" s="6" t="s">
        <v>2120</v>
      </c>
      <c r="B425" s="3" t="s">
        <v>2117</v>
      </c>
      <c r="C425" s="4">
        <v>2</v>
      </c>
      <c r="D425" s="5">
        <v>79.98</v>
      </c>
      <c r="E425" s="4" t="s">
        <v>2118</v>
      </c>
      <c r="F425" s="3" t="s">
        <v>5820</v>
      </c>
      <c r="G425" s="7" t="s">
        <v>6491</v>
      </c>
      <c r="H425" s="3" t="s">
        <v>5978</v>
      </c>
      <c r="I425" s="3" t="s">
        <v>5979</v>
      </c>
      <c r="J425" s="3" t="s">
        <v>5536</v>
      </c>
      <c r="K425" s="3" t="s">
        <v>6021</v>
      </c>
      <c r="L425" s="8" t="str">
        <f t="shared" si="4"/>
        <v xml:space="preserve">http://slimages.macys.com/is/image/MCY/13313342 </v>
      </c>
    </row>
    <row r="426" spans="1:12" x14ac:dyDescent="0.25">
      <c r="A426" s="6" t="s">
        <v>2121</v>
      </c>
      <c r="B426" s="3" t="s">
        <v>2117</v>
      </c>
      <c r="C426" s="4">
        <v>1</v>
      </c>
      <c r="D426" s="5">
        <v>39.99</v>
      </c>
      <c r="E426" s="4" t="s">
        <v>2118</v>
      </c>
      <c r="F426" s="3" t="s">
        <v>5820</v>
      </c>
      <c r="G426" s="7" t="s">
        <v>5850</v>
      </c>
      <c r="H426" s="3" t="s">
        <v>5978</v>
      </c>
      <c r="I426" s="3" t="s">
        <v>5979</v>
      </c>
      <c r="J426" s="3" t="s">
        <v>5536</v>
      </c>
      <c r="K426" s="3" t="s">
        <v>6021</v>
      </c>
      <c r="L426" s="8" t="str">
        <f t="shared" si="4"/>
        <v xml:space="preserve">http://slimages.macys.com/is/image/MCY/13313342 </v>
      </c>
    </row>
    <row r="427" spans="1:12" x14ac:dyDescent="0.25">
      <c r="A427" s="6" t="s">
        <v>2122</v>
      </c>
      <c r="B427" s="3" t="s">
        <v>2117</v>
      </c>
      <c r="C427" s="4">
        <v>2</v>
      </c>
      <c r="D427" s="5">
        <v>79.98</v>
      </c>
      <c r="E427" s="4" t="s">
        <v>2118</v>
      </c>
      <c r="F427" s="3" t="s">
        <v>5820</v>
      </c>
      <c r="G427" s="7" t="s">
        <v>7103</v>
      </c>
      <c r="H427" s="3" t="s">
        <v>5978</v>
      </c>
      <c r="I427" s="3" t="s">
        <v>5979</v>
      </c>
      <c r="J427" s="3" t="s">
        <v>5536</v>
      </c>
      <c r="K427" s="3" t="s">
        <v>6021</v>
      </c>
      <c r="L427" s="8" t="str">
        <f t="shared" si="4"/>
        <v xml:space="preserve">http://slimages.macys.com/is/image/MCY/13313342 </v>
      </c>
    </row>
    <row r="428" spans="1:12" x14ac:dyDescent="0.25">
      <c r="A428" s="6" t="s">
        <v>2123</v>
      </c>
      <c r="B428" s="3" t="s">
        <v>2117</v>
      </c>
      <c r="C428" s="4">
        <v>1</v>
      </c>
      <c r="D428" s="5">
        <v>39.99</v>
      </c>
      <c r="E428" s="4" t="s">
        <v>2118</v>
      </c>
      <c r="F428" s="3" t="s">
        <v>5820</v>
      </c>
      <c r="G428" s="7" t="s">
        <v>6170</v>
      </c>
      <c r="H428" s="3" t="s">
        <v>5978</v>
      </c>
      <c r="I428" s="3" t="s">
        <v>5979</v>
      </c>
      <c r="J428" s="3" t="s">
        <v>5536</v>
      </c>
      <c r="K428" s="3" t="s">
        <v>6021</v>
      </c>
      <c r="L428" s="8" t="str">
        <f t="shared" si="4"/>
        <v xml:space="preserve">http://slimages.macys.com/is/image/MCY/13313342 </v>
      </c>
    </row>
    <row r="429" spans="1:12" x14ac:dyDescent="0.25">
      <c r="A429" s="6" t="s">
        <v>2124</v>
      </c>
      <c r="B429" s="3" t="s">
        <v>2117</v>
      </c>
      <c r="C429" s="4">
        <v>2</v>
      </c>
      <c r="D429" s="5">
        <v>79.98</v>
      </c>
      <c r="E429" s="4" t="s">
        <v>2118</v>
      </c>
      <c r="F429" s="3" t="s">
        <v>5820</v>
      </c>
      <c r="G429" s="7" t="s">
        <v>4491</v>
      </c>
      <c r="H429" s="3" t="s">
        <v>5978</v>
      </c>
      <c r="I429" s="3" t="s">
        <v>5979</v>
      </c>
      <c r="J429" s="3" t="s">
        <v>5536</v>
      </c>
      <c r="K429" s="3" t="s">
        <v>6021</v>
      </c>
      <c r="L429" s="8" t="str">
        <f t="shared" si="4"/>
        <v xml:space="preserve">http://slimages.macys.com/is/image/MCY/13313342 </v>
      </c>
    </row>
    <row r="430" spans="1:12" x14ac:dyDescent="0.25">
      <c r="A430" s="6" t="s">
        <v>2125</v>
      </c>
      <c r="B430" s="3" t="s">
        <v>2117</v>
      </c>
      <c r="C430" s="4">
        <v>2</v>
      </c>
      <c r="D430" s="5">
        <v>79.98</v>
      </c>
      <c r="E430" s="4" t="s">
        <v>2118</v>
      </c>
      <c r="F430" s="3" t="s">
        <v>5820</v>
      </c>
      <c r="G430" s="7" t="s">
        <v>6626</v>
      </c>
      <c r="H430" s="3" t="s">
        <v>5978</v>
      </c>
      <c r="I430" s="3" t="s">
        <v>5979</v>
      </c>
      <c r="J430" s="3" t="s">
        <v>5536</v>
      </c>
      <c r="K430" s="3" t="s">
        <v>6021</v>
      </c>
      <c r="L430" s="8" t="str">
        <f t="shared" si="4"/>
        <v xml:space="preserve">http://slimages.macys.com/is/image/MCY/13313342 </v>
      </c>
    </row>
    <row r="431" spans="1:12" x14ac:dyDescent="0.25">
      <c r="A431" s="6" t="s">
        <v>2126</v>
      </c>
      <c r="B431" s="3" t="s">
        <v>6269</v>
      </c>
      <c r="C431" s="4">
        <v>1</v>
      </c>
      <c r="D431" s="5">
        <v>39.99</v>
      </c>
      <c r="E431" s="4" t="s">
        <v>6270</v>
      </c>
      <c r="F431" s="3" t="s">
        <v>5532</v>
      </c>
      <c r="G431" s="7" t="s">
        <v>5533</v>
      </c>
      <c r="H431" s="3" t="s">
        <v>6065</v>
      </c>
      <c r="I431" s="3" t="s">
        <v>6066</v>
      </c>
      <c r="J431" s="3" t="s">
        <v>5536</v>
      </c>
      <c r="K431" s="3" t="s">
        <v>5594</v>
      </c>
      <c r="L431" s="8" t="str">
        <f>HYPERLINK("http://slimages.macys.com/is/image/MCY/15361335 ")</f>
        <v xml:space="preserve">http://slimages.macys.com/is/image/MCY/15361335 </v>
      </c>
    </row>
    <row r="432" spans="1:12" x14ac:dyDescent="0.25">
      <c r="A432" s="6" t="s">
        <v>2127</v>
      </c>
      <c r="B432" s="3" t="s">
        <v>2128</v>
      </c>
      <c r="C432" s="4">
        <v>1</v>
      </c>
      <c r="D432" s="5">
        <v>39.99</v>
      </c>
      <c r="E432" s="4" t="s">
        <v>2129</v>
      </c>
      <c r="F432" s="3" t="s">
        <v>5540</v>
      </c>
      <c r="G432" s="7" t="s">
        <v>5598</v>
      </c>
      <c r="H432" s="3" t="s">
        <v>5978</v>
      </c>
      <c r="I432" s="3" t="s">
        <v>5979</v>
      </c>
      <c r="J432" s="3" t="s">
        <v>5536</v>
      </c>
      <c r="K432" s="3" t="s">
        <v>5574</v>
      </c>
      <c r="L432" s="8" t="str">
        <f>HYPERLINK("http://slimages.macys.com/is/image/MCY/15254390 ")</f>
        <v xml:space="preserve">http://slimages.macys.com/is/image/MCY/15254390 </v>
      </c>
    </row>
    <row r="433" spans="1:12" x14ac:dyDescent="0.25">
      <c r="A433" s="6" t="s">
        <v>2130</v>
      </c>
      <c r="B433" s="3" t="s">
        <v>2128</v>
      </c>
      <c r="C433" s="4">
        <v>1</v>
      </c>
      <c r="D433" s="5">
        <v>39.99</v>
      </c>
      <c r="E433" s="4" t="s">
        <v>2129</v>
      </c>
      <c r="F433" s="3" t="s">
        <v>5745</v>
      </c>
      <c r="G433" s="7" t="s">
        <v>5596</v>
      </c>
      <c r="H433" s="3" t="s">
        <v>5978</v>
      </c>
      <c r="I433" s="3" t="s">
        <v>5979</v>
      </c>
      <c r="J433" s="3" t="s">
        <v>5536</v>
      </c>
      <c r="K433" s="3" t="s">
        <v>5574</v>
      </c>
      <c r="L433" s="8" t="str">
        <f>HYPERLINK("http://slimages.macys.com/is/image/MCY/15254390 ")</f>
        <v xml:space="preserve">http://slimages.macys.com/is/image/MCY/15254390 </v>
      </c>
    </row>
    <row r="434" spans="1:12" ht="24.75" x14ac:dyDescent="0.25">
      <c r="A434" s="6" t="s">
        <v>2131</v>
      </c>
      <c r="B434" s="3" t="s">
        <v>2132</v>
      </c>
      <c r="C434" s="4">
        <v>1</v>
      </c>
      <c r="D434" s="5">
        <v>24</v>
      </c>
      <c r="E434" s="4" t="s">
        <v>2133</v>
      </c>
      <c r="F434" s="3" t="s">
        <v>5532</v>
      </c>
      <c r="G434" s="7"/>
      <c r="H434" s="3" t="s">
        <v>5825</v>
      </c>
      <c r="I434" s="3" t="s">
        <v>6673</v>
      </c>
      <c r="J434" s="3" t="s">
        <v>5536</v>
      </c>
      <c r="K434" s="3" t="s">
        <v>5594</v>
      </c>
      <c r="L434" s="8" t="str">
        <f>HYPERLINK("http://slimages.macys.com/is/image/MCY/11536811 ")</f>
        <v xml:space="preserve">http://slimages.macys.com/is/image/MCY/11536811 </v>
      </c>
    </row>
    <row r="435" spans="1:12" ht="24.75" x14ac:dyDescent="0.25">
      <c r="A435" s="6" t="s">
        <v>6272</v>
      </c>
      <c r="B435" s="3" t="s">
        <v>6273</v>
      </c>
      <c r="C435" s="4">
        <v>3</v>
      </c>
      <c r="D435" s="5">
        <v>75</v>
      </c>
      <c r="E435" s="4" t="s">
        <v>6274</v>
      </c>
      <c r="F435" s="3" t="s">
        <v>6275</v>
      </c>
      <c r="G435" s="7"/>
      <c r="H435" s="3" t="s">
        <v>5825</v>
      </c>
      <c r="I435" s="3" t="s">
        <v>6265</v>
      </c>
      <c r="J435" s="3" t="s">
        <v>5536</v>
      </c>
      <c r="K435" s="3" t="s">
        <v>6266</v>
      </c>
      <c r="L435" s="8" t="str">
        <f>HYPERLINK("http://slimages.macys.com/is/image/MCY/9710602 ")</f>
        <v xml:space="preserve">http://slimages.macys.com/is/image/MCY/9710602 </v>
      </c>
    </row>
    <row r="436" spans="1:12" ht="24.75" x14ac:dyDescent="0.25">
      <c r="A436" s="6" t="s">
        <v>6277</v>
      </c>
      <c r="B436" s="3" t="s">
        <v>6273</v>
      </c>
      <c r="C436" s="4">
        <v>2</v>
      </c>
      <c r="D436" s="5">
        <v>50</v>
      </c>
      <c r="E436" s="4" t="s">
        <v>6274</v>
      </c>
      <c r="F436" s="3" t="s">
        <v>6275</v>
      </c>
      <c r="G436" s="7"/>
      <c r="H436" s="3" t="s">
        <v>5825</v>
      </c>
      <c r="I436" s="3" t="s">
        <v>6265</v>
      </c>
      <c r="J436" s="3" t="s">
        <v>5536</v>
      </c>
      <c r="K436" s="3" t="s">
        <v>6266</v>
      </c>
      <c r="L436" s="8" t="str">
        <f>HYPERLINK("http://slimages.macys.com/is/image/MCY/9710602 ")</f>
        <v xml:space="preserve">http://slimages.macys.com/is/image/MCY/9710602 </v>
      </c>
    </row>
    <row r="437" spans="1:12" ht="24.75" x14ac:dyDescent="0.25">
      <c r="A437" s="6" t="s">
        <v>6276</v>
      </c>
      <c r="B437" s="3" t="s">
        <v>6273</v>
      </c>
      <c r="C437" s="4">
        <v>1</v>
      </c>
      <c r="D437" s="5">
        <v>25</v>
      </c>
      <c r="E437" s="4" t="s">
        <v>6274</v>
      </c>
      <c r="F437" s="3" t="s">
        <v>6275</v>
      </c>
      <c r="G437" s="7"/>
      <c r="H437" s="3" t="s">
        <v>5825</v>
      </c>
      <c r="I437" s="3" t="s">
        <v>6265</v>
      </c>
      <c r="J437" s="3" t="s">
        <v>5536</v>
      </c>
      <c r="K437" s="3" t="s">
        <v>6266</v>
      </c>
      <c r="L437" s="8" t="str">
        <f>HYPERLINK("http://slimages.macys.com/is/image/MCY/9710602 ")</f>
        <v xml:space="preserve">http://slimages.macys.com/is/image/MCY/9710602 </v>
      </c>
    </row>
    <row r="438" spans="1:12" ht="24.75" x14ac:dyDescent="0.25">
      <c r="A438" s="6" t="s">
        <v>6304</v>
      </c>
      <c r="B438" s="3" t="s">
        <v>6291</v>
      </c>
      <c r="C438" s="4">
        <v>2</v>
      </c>
      <c r="D438" s="5">
        <v>56</v>
      </c>
      <c r="E438" s="4">
        <v>87994501</v>
      </c>
      <c r="F438" s="3" t="s">
        <v>5661</v>
      </c>
      <c r="G438" s="7" t="s">
        <v>5898</v>
      </c>
      <c r="H438" s="3" t="s">
        <v>6280</v>
      </c>
      <c r="I438" s="3" t="s">
        <v>6281</v>
      </c>
      <c r="J438" s="3" t="s">
        <v>5536</v>
      </c>
      <c r="K438" s="3" t="s">
        <v>6292</v>
      </c>
      <c r="L438" s="8" t="str">
        <f>HYPERLINK("http://slimages.macys.com/is/image/MCY/16178983 ")</f>
        <v xml:space="preserve">http://slimages.macys.com/is/image/MCY/16178983 </v>
      </c>
    </row>
    <row r="439" spans="1:12" ht="24.75" x14ac:dyDescent="0.25">
      <c r="A439" s="6" t="s">
        <v>6358</v>
      </c>
      <c r="B439" s="3" t="s">
        <v>6359</v>
      </c>
      <c r="C439" s="4">
        <v>1</v>
      </c>
      <c r="D439" s="5">
        <v>28</v>
      </c>
      <c r="E439" s="4" t="s">
        <v>6360</v>
      </c>
      <c r="F439" s="3" t="s">
        <v>5532</v>
      </c>
      <c r="G439" s="7" t="s">
        <v>5898</v>
      </c>
      <c r="H439" s="3" t="s">
        <v>6280</v>
      </c>
      <c r="I439" s="3" t="s">
        <v>6288</v>
      </c>
      <c r="J439" s="3" t="s">
        <v>5536</v>
      </c>
      <c r="K439" s="3" t="s">
        <v>6295</v>
      </c>
      <c r="L439" s="8" t="str">
        <f>HYPERLINK("http://slimages.macys.com/is/image/MCY/15918338 ")</f>
        <v xml:space="preserve">http://slimages.macys.com/is/image/MCY/15918338 </v>
      </c>
    </row>
    <row r="440" spans="1:12" ht="24.75" x14ac:dyDescent="0.25">
      <c r="A440" s="6" t="s">
        <v>2134</v>
      </c>
      <c r="B440" s="3" t="s">
        <v>2135</v>
      </c>
      <c r="C440" s="4">
        <v>1</v>
      </c>
      <c r="D440" s="5">
        <v>28</v>
      </c>
      <c r="E440" s="4">
        <v>87983302</v>
      </c>
      <c r="F440" s="3" t="s">
        <v>6335</v>
      </c>
      <c r="G440" s="7" t="s">
        <v>5898</v>
      </c>
      <c r="H440" s="3" t="s">
        <v>6280</v>
      </c>
      <c r="I440" s="3" t="s">
        <v>6281</v>
      </c>
      <c r="J440" s="3" t="s">
        <v>5536</v>
      </c>
      <c r="K440" s="3" t="s">
        <v>6303</v>
      </c>
      <c r="L440" s="8" t="str">
        <f>HYPERLINK("http://slimages.macys.com/is/image/MCY/11399927 ")</f>
        <v xml:space="preserve">http://slimages.macys.com/is/image/MCY/11399927 </v>
      </c>
    </row>
    <row r="441" spans="1:12" x14ac:dyDescent="0.25">
      <c r="A441" s="6" t="s">
        <v>2136</v>
      </c>
      <c r="B441" s="3" t="s">
        <v>2137</v>
      </c>
      <c r="C441" s="4">
        <v>1</v>
      </c>
      <c r="D441" s="5">
        <v>39.99</v>
      </c>
      <c r="E441" s="4">
        <v>100076433</v>
      </c>
      <c r="F441" s="3" t="s">
        <v>5532</v>
      </c>
      <c r="G441" s="7" t="s">
        <v>5533</v>
      </c>
      <c r="H441" s="3" t="s">
        <v>5978</v>
      </c>
      <c r="I441" s="3" t="s">
        <v>5979</v>
      </c>
      <c r="J441" s="3" t="s">
        <v>5536</v>
      </c>
      <c r="K441" s="3" t="s">
        <v>5594</v>
      </c>
      <c r="L441" s="8" t="str">
        <f>HYPERLINK("http://slimages.macys.com/is/image/MCY/9245214 ")</f>
        <v xml:space="preserve">http://slimages.macys.com/is/image/MCY/9245214 </v>
      </c>
    </row>
    <row r="442" spans="1:12" ht="24.75" x14ac:dyDescent="0.25">
      <c r="A442" s="6" t="s">
        <v>2138</v>
      </c>
      <c r="B442" s="3" t="s">
        <v>2139</v>
      </c>
      <c r="C442" s="4">
        <v>1</v>
      </c>
      <c r="D442" s="5">
        <v>28</v>
      </c>
      <c r="E442" s="4" t="s">
        <v>2140</v>
      </c>
      <c r="F442" s="3" t="s">
        <v>5625</v>
      </c>
      <c r="G442" s="7" t="s">
        <v>5898</v>
      </c>
      <c r="H442" s="3" t="s">
        <v>6280</v>
      </c>
      <c r="I442" s="3" t="s">
        <v>6288</v>
      </c>
      <c r="J442" s="3" t="s">
        <v>5536</v>
      </c>
      <c r="K442" s="3" t="s">
        <v>2141</v>
      </c>
      <c r="L442" s="8" t="str">
        <f>HYPERLINK("http://slimages.macys.com/is/image/MCY/15663847 ")</f>
        <v xml:space="preserve">http://slimages.macys.com/is/image/MCY/15663847 </v>
      </c>
    </row>
    <row r="443" spans="1:12" ht="24.75" x14ac:dyDescent="0.25">
      <c r="A443" s="6" t="s">
        <v>6363</v>
      </c>
      <c r="B443" s="3" t="s">
        <v>6341</v>
      </c>
      <c r="C443" s="4">
        <v>1</v>
      </c>
      <c r="D443" s="5">
        <v>28</v>
      </c>
      <c r="E443" s="4">
        <v>87994201</v>
      </c>
      <c r="F443" s="3" t="s">
        <v>5625</v>
      </c>
      <c r="G443" s="7" t="s">
        <v>5898</v>
      </c>
      <c r="H443" s="3" t="s">
        <v>6280</v>
      </c>
      <c r="I443" s="3" t="s">
        <v>6281</v>
      </c>
      <c r="J443" s="3" t="s">
        <v>5536</v>
      </c>
      <c r="K443" s="3" t="s">
        <v>6342</v>
      </c>
      <c r="L443" s="8" t="str">
        <f>HYPERLINK("http://slimages.macys.com/is/image/MCY/15147424 ")</f>
        <v xml:space="preserve">http://slimages.macys.com/is/image/MCY/15147424 </v>
      </c>
    </row>
    <row r="444" spans="1:12" ht="24.75" x14ac:dyDescent="0.25">
      <c r="A444" s="6" t="s">
        <v>6282</v>
      </c>
      <c r="B444" s="3" t="s">
        <v>6283</v>
      </c>
      <c r="C444" s="4">
        <v>1</v>
      </c>
      <c r="D444" s="5">
        <v>28</v>
      </c>
      <c r="E444" s="4">
        <v>81994507</v>
      </c>
      <c r="F444" s="3" t="s">
        <v>5532</v>
      </c>
      <c r="G444" s="7" t="s">
        <v>5898</v>
      </c>
      <c r="H444" s="3" t="s">
        <v>6280</v>
      </c>
      <c r="I444" s="3" t="s">
        <v>6281</v>
      </c>
      <c r="J444" s="3" t="s">
        <v>5536</v>
      </c>
      <c r="K444" s="3" t="s">
        <v>6284</v>
      </c>
      <c r="L444" s="8" t="str">
        <f>HYPERLINK("http://slimages.macys.com/is/image/MCY/15882899 ")</f>
        <v xml:space="preserve">http://slimages.macys.com/is/image/MCY/15882899 </v>
      </c>
    </row>
    <row r="445" spans="1:12" ht="24.75" x14ac:dyDescent="0.25">
      <c r="A445" s="6" t="s">
        <v>6353</v>
      </c>
      <c r="B445" s="3" t="s">
        <v>6337</v>
      </c>
      <c r="C445" s="4">
        <v>1</v>
      </c>
      <c r="D445" s="5">
        <v>28</v>
      </c>
      <c r="E445" s="4">
        <v>87994403</v>
      </c>
      <c r="F445" s="3" t="s">
        <v>5661</v>
      </c>
      <c r="G445" s="7" t="s">
        <v>5898</v>
      </c>
      <c r="H445" s="3" t="s">
        <v>6280</v>
      </c>
      <c r="I445" s="3" t="s">
        <v>6281</v>
      </c>
      <c r="J445" s="3" t="s">
        <v>5536</v>
      </c>
      <c r="K445" s="3" t="s">
        <v>6338</v>
      </c>
      <c r="L445" s="8" t="str">
        <f>HYPERLINK("http://slimages.macys.com/is/image/MCY/15882927 ")</f>
        <v xml:space="preserve">http://slimages.macys.com/is/image/MCY/15882927 </v>
      </c>
    </row>
    <row r="446" spans="1:12" ht="24.75" x14ac:dyDescent="0.25">
      <c r="A446" s="6" t="s">
        <v>3765</v>
      </c>
      <c r="B446" s="3" t="s">
        <v>6381</v>
      </c>
      <c r="C446" s="4">
        <v>1</v>
      </c>
      <c r="D446" s="5">
        <v>28</v>
      </c>
      <c r="E446" s="4" t="s">
        <v>6382</v>
      </c>
      <c r="F446" s="3" t="s">
        <v>5803</v>
      </c>
      <c r="G446" s="7" t="s">
        <v>5898</v>
      </c>
      <c r="H446" s="3" t="s">
        <v>6280</v>
      </c>
      <c r="I446" s="3" t="s">
        <v>6288</v>
      </c>
      <c r="J446" s="3" t="s">
        <v>5536</v>
      </c>
      <c r="K446" s="3" t="s">
        <v>6295</v>
      </c>
      <c r="L446" s="8" t="str">
        <f>HYPERLINK("http://slimages.macys.com/is/image/MCY/14501689 ")</f>
        <v xml:space="preserve">http://slimages.macys.com/is/image/MCY/14501689 </v>
      </c>
    </row>
    <row r="447" spans="1:12" ht="24.75" x14ac:dyDescent="0.25">
      <c r="A447" s="6" t="s">
        <v>3183</v>
      </c>
      <c r="B447" s="3" t="s">
        <v>3184</v>
      </c>
      <c r="C447" s="4">
        <v>1</v>
      </c>
      <c r="D447" s="5">
        <v>28</v>
      </c>
      <c r="E447" s="4" t="s">
        <v>3185</v>
      </c>
      <c r="F447" s="3" t="s">
        <v>5625</v>
      </c>
      <c r="G447" s="7" t="s">
        <v>5898</v>
      </c>
      <c r="H447" s="3" t="s">
        <v>6280</v>
      </c>
      <c r="I447" s="3" t="s">
        <v>6288</v>
      </c>
      <c r="J447" s="3" t="s">
        <v>5536</v>
      </c>
      <c r="K447" s="3" t="s">
        <v>6372</v>
      </c>
      <c r="L447" s="8" t="str">
        <f>HYPERLINK("http://slimages.macys.com/is/image/MCY/16213893 ")</f>
        <v xml:space="preserve">http://slimages.macys.com/is/image/MCY/16213893 </v>
      </c>
    </row>
    <row r="448" spans="1:12" ht="24.75" x14ac:dyDescent="0.25">
      <c r="A448" s="6" t="s">
        <v>6354</v>
      </c>
      <c r="B448" s="3" t="s">
        <v>6294</v>
      </c>
      <c r="C448" s="4">
        <v>2</v>
      </c>
      <c r="D448" s="5">
        <v>56</v>
      </c>
      <c r="E448" s="4">
        <v>87994402</v>
      </c>
      <c r="F448" s="3" t="s">
        <v>5793</v>
      </c>
      <c r="G448" s="7" t="s">
        <v>5898</v>
      </c>
      <c r="H448" s="3" t="s">
        <v>6280</v>
      </c>
      <c r="I448" s="3" t="s">
        <v>6281</v>
      </c>
      <c r="J448" s="3" t="s">
        <v>5536</v>
      </c>
      <c r="K448" s="3" t="s">
        <v>6295</v>
      </c>
      <c r="L448" s="8" t="str">
        <f>HYPERLINK("http://slimages.macys.com/is/image/MCY/15884038 ")</f>
        <v xml:space="preserve">http://slimages.macys.com/is/image/MCY/15884038 </v>
      </c>
    </row>
    <row r="449" spans="1:12" ht="24.75" x14ac:dyDescent="0.25">
      <c r="A449" s="6" t="s">
        <v>6369</v>
      </c>
      <c r="B449" s="3" t="s">
        <v>6370</v>
      </c>
      <c r="C449" s="4">
        <v>1</v>
      </c>
      <c r="D449" s="5">
        <v>28</v>
      </c>
      <c r="E449" s="4" t="s">
        <v>6371</v>
      </c>
      <c r="F449" s="3" t="s">
        <v>5532</v>
      </c>
      <c r="G449" s="7" t="s">
        <v>5898</v>
      </c>
      <c r="H449" s="3" t="s">
        <v>6280</v>
      </c>
      <c r="I449" s="3" t="s">
        <v>6288</v>
      </c>
      <c r="J449" s="3" t="s">
        <v>5536</v>
      </c>
      <c r="K449" s="3" t="s">
        <v>6372</v>
      </c>
      <c r="L449" s="8" t="str">
        <f>HYPERLINK("http://slimages.macys.com/is/image/MCY/16193240 ")</f>
        <v xml:space="preserve">http://slimages.macys.com/is/image/MCY/16193240 </v>
      </c>
    </row>
    <row r="450" spans="1:12" ht="24.75" x14ac:dyDescent="0.25">
      <c r="A450" s="6" t="s">
        <v>6394</v>
      </c>
      <c r="B450" s="3" t="s">
        <v>6347</v>
      </c>
      <c r="C450" s="4">
        <v>2</v>
      </c>
      <c r="D450" s="5">
        <v>56</v>
      </c>
      <c r="E450" s="4">
        <v>87994409</v>
      </c>
      <c r="F450" s="3" t="s">
        <v>5532</v>
      </c>
      <c r="G450" s="7" t="s">
        <v>5898</v>
      </c>
      <c r="H450" s="3" t="s">
        <v>6280</v>
      </c>
      <c r="I450" s="3" t="s">
        <v>6281</v>
      </c>
      <c r="J450" s="3" t="s">
        <v>5536</v>
      </c>
      <c r="K450" s="3" t="s">
        <v>6332</v>
      </c>
      <c r="L450" s="8" t="str">
        <f>HYPERLINK("http://slimages.macys.com/is/image/MCY/15147571 ")</f>
        <v xml:space="preserve">http://slimages.macys.com/is/image/MCY/15147571 </v>
      </c>
    </row>
    <row r="451" spans="1:12" ht="24.75" x14ac:dyDescent="0.25">
      <c r="A451" s="6" t="s">
        <v>6387</v>
      </c>
      <c r="B451" s="3" t="s">
        <v>6388</v>
      </c>
      <c r="C451" s="4">
        <v>2</v>
      </c>
      <c r="D451" s="5">
        <v>56</v>
      </c>
      <c r="E451" s="4" t="s">
        <v>6389</v>
      </c>
      <c r="F451" s="3" t="s">
        <v>5540</v>
      </c>
      <c r="G451" s="7" t="s">
        <v>5898</v>
      </c>
      <c r="H451" s="3" t="s">
        <v>6280</v>
      </c>
      <c r="I451" s="3" t="s">
        <v>6288</v>
      </c>
      <c r="J451" s="3" t="s">
        <v>5536</v>
      </c>
      <c r="K451" s="3" t="s">
        <v>6390</v>
      </c>
      <c r="L451" s="8" t="str">
        <f>HYPERLINK("http://slimages.macys.com/is/image/MCY/15663294 ")</f>
        <v xml:space="preserve">http://slimages.macys.com/is/image/MCY/15663294 </v>
      </c>
    </row>
    <row r="452" spans="1:12" ht="24.75" x14ac:dyDescent="0.25">
      <c r="A452" s="6" t="s">
        <v>6403</v>
      </c>
      <c r="B452" s="3" t="s">
        <v>6378</v>
      </c>
      <c r="C452" s="4">
        <v>2</v>
      </c>
      <c r="D452" s="5">
        <v>56</v>
      </c>
      <c r="E452" s="4" t="s">
        <v>6379</v>
      </c>
      <c r="F452" s="3" t="s">
        <v>5625</v>
      </c>
      <c r="G452" s="7" t="s">
        <v>5898</v>
      </c>
      <c r="H452" s="3" t="s">
        <v>6280</v>
      </c>
      <c r="I452" s="3" t="s">
        <v>6288</v>
      </c>
      <c r="J452" s="3" t="s">
        <v>5536</v>
      </c>
      <c r="K452" s="3" t="s">
        <v>6295</v>
      </c>
      <c r="L452" s="8" t="str">
        <f>HYPERLINK("http://slimages.macys.com/is/image/MCY/15883244 ")</f>
        <v xml:space="preserve">http://slimages.macys.com/is/image/MCY/15883244 </v>
      </c>
    </row>
    <row r="453" spans="1:12" ht="24.75" x14ac:dyDescent="0.25">
      <c r="A453" s="6" t="s">
        <v>2142</v>
      </c>
      <c r="B453" s="3" t="s">
        <v>2143</v>
      </c>
      <c r="C453" s="4">
        <v>1</v>
      </c>
      <c r="D453" s="5">
        <v>28</v>
      </c>
      <c r="E453" s="4">
        <v>87991403</v>
      </c>
      <c r="F453" s="3" t="s">
        <v>5532</v>
      </c>
      <c r="G453" s="7" t="s">
        <v>5898</v>
      </c>
      <c r="H453" s="3" t="s">
        <v>6280</v>
      </c>
      <c r="I453" s="3" t="s">
        <v>6281</v>
      </c>
      <c r="J453" s="3" t="s">
        <v>5536</v>
      </c>
      <c r="K453" s="3" t="s">
        <v>452</v>
      </c>
      <c r="L453" s="8" t="str">
        <f>HYPERLINK("http://slimages.macys.com/is/image/MCY/12076435 ")</f>
        <v xml:space="preserve">http://slimages.macys.com/is/image/MCY/12076435 </v>
      </c>
    </row>
    <row r="454" spans="1:12" ht="24.75" x14ac:dyDescent="0.25">
      <c r="A454" s="6" t="s">
        <v>2144</v>
      </c>
      <c r="B454" s="3" t="s">
        <v>6308</v>
      </c>
      <c r="C454" s="4">
        <v>1</v>
      </c>
      <c r="D454" s="5">
        <v>28</v>
      </c>
      <c r="E454" s="4">
        <v>87984402</v>
      </c>
      <c r="F454" s="3" t="s">
        <v>5532</v>
      </c>
      <c r="G454" s="7" t="s">
        <v>5898</v>
      </c>
      <c r="H454" s="3" t="s">
        <v>6280</v>
      </c>
      <c r="I454" s="3" t="s">
        <v>6281</v>
      </c>
      <c r="J454" s="3" t="s">
        <v>5536</v>
      </c>
      <c r="K454" s="3" t="s">
        <v>6295</v>
      </c>
      <c r="L454" s="8" t="str">
        <f>HYPERLINK("http://slimages.macys.com/is/image/MCY/11859714 ")</f>
        <v xml:space="preserve">http://slimages.macys.com/is/image/MCY/11859714 </v>
      </c>
    </row>
    <row r="455" spans="1:12" ht="24.75" x14ac:dyDescent="0.25">
      <c r="A455" s="6" t="s">
        <v>6393</v>
      </c>
      <c r="B455" s="3" t="s">
        <v>6315</v>
      </c>
      <c r="C455" s="4">
        <v>1</v>
      </c>
      <c r="D455" s="5">
        <v>28</v>
      </c>
      <c r="E455" s="4">
        <v>87994301</v>
      </c>
      <c r="F455" s="3" t="s">
        <v>5661</v>
      </c>
      <c r="G455" s="7" t="s">
        <v>5898</v>
      </c>
      <c r="H455" s="3" t="s">
        <v>6280</v>
      </c>
      <c r="I455" s="3" t="s">
        <v>6281</v>
      </c>
      <c r="J455" s="3" t="s">
        <v>5536</v>
      </c>
      <c r="K455" s="3" t="s">
        <v>6316</v>
      </c>
      <c r="L455" s="8" t="str">
        <f>HYPERLINK("http://slimages.macys.com/is/image/MCY/15883995 ")</f>
        <v xml:space="preserve">http://slimages.macys.com/is/image/MCY/15883995 </v>
      </c>
    </row>
    <row r="456" spans="1:12" ht="24.75" x14ac:dyDescent="0.25">
      <c r="A456" s="6" t="s">
        <v>2145</v>
      </c>
      <c r="B456" s="3" t="s">
        <v>6323</v>
      </c>
      <c r="C456" s="4">
        <v>2</v>
      </c>
      <c r="D456" s="5">
        <v>56</v>
      </c>
      <c r="E456" s="4">
        <v>87933732</v>
      </c>
      <c r="F456" s="3" t="s">
        <v>5754</v>
      </c>
      <c r="G456" s="7" t="s">
        <v>5898</v>
      </c>
      <c r="H456" s="3" t="s">
        <v>6280</v>
      </c>
      <c r="I456" s="3" t="s">
        <v>6281</v>
      </c>
      <c r="J456" s="3" t="s">
        <v>5536</v>
      </c>
      <c r="K456" s="3" t="s">
        <v>6303</v>
      </c>
      <c r="L456" s="8" t="str">
        <f>HYPERLINK("http://slimages.macys.com/is/image/MCY/1753410 ")</f>
        <v xml:space="preserve">http://slimages.macys.com/is/image/MCY/1753410 </v>
      </c>
    </row>
    <row r="457" spans="1:12" ht="24.75" x14ac:dyDescent="0.25">
      <c r="A457" s="6" t="s">
        <v>6329</v>
      </c>
      <c r="B457" s="3" t="s">
        <v>6330</v>
      </c>
      <c r="C457" s="4">
        <v>2</v>
      </c>
      <c r="D457" s="5">
        <v>56</v>
      </c>
      <c r="E457" s="4" t="s">
        <v>6331</v>
      </c>
      <c r="F457" s="3" t="s">
        <v>6010</v>
      </c>
      <c r="G457" s="7" t="s">
        <v>5898</v>
      </c>
      <c r="H457" s="3" t="s">
        <v>6280</v>
      </c>
      <c r="I457" s="3" t="s">
        <v>6288</v>
      </c>
      <c r="J457" s="3" t="s">
        <v>5536</v>
      </c>
      <c r="K457" s="3" t="s">
        <v>6332</v>
      </c>
      <c r="L457" s="8" t="str">
        <f>HYPERLINK("http://slimages.macys.com/is/image/MCY/14573428 ")</f>
        <v xml:space="preserve">http://slimages.macys.com/is/image/MCY/14573428 </v>
      </c>
    </row>
    <row r="458" spans="1:12" ht="24.75" x14ac:dyDescent="0.25">
      <c r="A458" s="6" t="s">
        <v>2146</v>
      </c>
      <c r="B458" s="3" t="s">
        <v>2135</v>
      </c>
      <c r="C458" s="4">
        <v>1</v>
      </c>
      <c r="D458" s="5">
        <v>28</v>
      </c>
      <c r="E458" s="4">
        <v>87983302</v>
      </c>
      <c r="F458" s="3" t="s">
        <v>5754</v>
      </c>
      <c r="G458" s="7" t="s">
        <v>5898</v>
      </c>
      <c r="H458" s="3" t="s">
        <v>6280</v>
      </c>
      <c r="I458" s="3" t="s">
        <v>6281</v>
      </c>
      <c r="J458" s="3" t="s">
        <v>5536</v>
      </c>
      <c r="K458" s="3" t="s">
        <v>6303</v>
      </c>
      <c r="L458" s="8" t="str">
        <f>HYPERLINK("http://slimages.macys.com/is/image/MCY/11399927 ")</f>
        <v xml:space="preserve">http://slimages.macys.com/is/image/MCY/11399927 </v>
      </c>
    </row>
    <row r="459" spans="1:12" ht="24.75" x14ac:dyDescent="0.25">
      <c r="A459" s="6" t="s">
        <v>6314</v>
      </c>
      <c r="B459" s="3" t="s">
        <v>6315</v>
      </c>
      <c r="C459" s="4">
        <v>1</v>
      </c>
      <c r="D459" s="5">
        <v>28</v>
      </c>
      <c r="E459" s="4">
        <v>87994301</v>
      </c>
      <c r="F459" s="3" t="s">
        <v>5754</v>
      </c>
      <c r="G459" s="7" t="s">
        <v>5898</v>
      </c>
      <c r="H459" s="3" t="s">
        <v>6280</v>
      </c>
      <c r="I459" s="3" t="s">
        <v>6281</v>
      </c>
      <c r="J459" s="3" t="s">
        <v>5536</v>
      </c>
      <c r="K459" s="3" t="s">
        <v>6316</v>
      </c>
      <c r="L459" s="8" t="str">
        <f>HYPERLINK("http://slimages.macys.com/is/image/MCY/15883995 ")</f>
        <v xml:space="preserve">http://slimages.macys.com/is/image/MCY/15883995 </v>
      </c>
    </row>
    <row r="460" spans="1:12" ht="24.75" x14ac:dyDescent="0.25">
      <c r="A460" s="6" t="s">
        <v>4183</v>
      </c>
      <c r="B460" s="3" t="s">
        <v>6283</v>
      </c>
      <c r="C460" s="4">
        <v>1</v>
      </c>
      <c r="D460" s="5">
        <v>28</v>
      </c>
      <c r="E460" s="4">
        <v>81994507</v>
      </c>
      <c r="F460" s="3" t="s">
        <v>5625</v>
      </c>
      <c r="G460" s="7" t="s">
        <v>5898</v>
      </c>
      <c r="H460" s="3" t="s">
        <v>6280</v>
      </c>
      <c r="I460" s="3" t="s">
        <v>6281</v>
      </c>
      <c r="J460" s="3" t="s">
        <v>5536</v>
      </c>
      <c r="K460" s="3" t="s">
        <v>6284</v>
      </c>
      <c r="L460" s="8" t="str">
        <f>HYPERLINK("http://slimages.macys.com/is/image/MCY/15882899 ")</f>
        <v xml:space="preserve">http://slimages.macys.com/is/image/MCY/15882899 </v>
      </c>
    </row>
    <row r="461" spans="1:12" ht="24.75" x14ac:dyDescent="0.25">
      <c r="A461" s="6" t="s">
        <v>3785</v>
      </c>
      <c r="B461" s="3" t="s">
        <v>3786</v>
      </c>
      <c r="C461" s="4">
        <v>1</v>
      </c>
      <c r="D461" s="5">
        <v>33.75</v>
      </c>
      <c r="E461" s="4" t="s">
        <v>3787</v>
      </c>
      <c r="F461" s="3" t="s">
        <v>5540</v>
      </c>
      <c r="G461" s="7" t="s">
        <v>5898</v>
      </c>
      <c r="H461" s="3" t="s">
        <v>6280</v>
      </c>
      <c r="I461" s="3" t="s">
        <v>6288</v>
      </c>
      <c r="J461" s="3" t="s">
        <v>5536</v>
      </c>
      <c r="K461" s="3" t="s">
        <v>6303</v>
      </c>
      <c r="L461" s="8" t="str">
        <f>HYPERLINK("http://slimages.macys.com/is/image/MCY/8677147 ")</f>
        <v xml:space="preserve">http://slimages.macys.com/is/image/MCY/8677147 </v>
      </c>
    </row>
    <row r="462" spans="1:12" ht="24.75" x14ac:dyDescent="0.25">
      <c r="A462" s="6" t="s">
        <v>6345</v>
      </c>
      <c r="B462" s="3" t="s">
        <v>6341</v>
      </c>
      <c r="C462" s="4">
        <v>2</v>
      </c>
      <c r="D462" s="5">
        <v>56</v>
      </c>
      <c r="E462" s="4">
        <v>87994201</v>
      </c>
      <c r="F462" s="3" t="s">
        <v>5532</v>
      </c>
      <c r="G462" s="7" t="s">
        <v>5898</v>
      </c>
      <c r="H462" s="3" t="s">
        <v>6280</v>
      </c>
      <c r="I462" s="3" t="s">
        <v>6281</v>
      </c>
      <c r="J462" s="3" t="s">
        <v>5536</v>
      </c>
      <c r="K462" s="3" t="s">
        <v>6342</v>
      </c>
      <c r="L462" s="8" t="str">
        <f>HYPERLINK("http://slimages.macys.com/is/image/MCY/15147424 ")</f>
        <v xml:space="preserve">http://slimages.macys.com/is/image/MCY/15147424 </v>
      </c>
    </row>
    <row r="463" spans="1:12" ht="24.75" x14ac:dyDescent="0.25">
      <c r="A463" s="6" t="s">
        <v>2147</v>
      </c>
      <c r="B463" s="3" t="s">
        <v>2148</v>
      </c>
      <c r="C463" s="4">
        <v>1</v>
      </c>
      <c r="D463" s="5">
        <v>28</v>
      </c>
      <c r="E463" s="4">
        <v>87993302</v>
      </c>
      <c r="F463" s="3" t="s">
        <v>5532</v>
      </c>
      <c r="G463" s="7" t="s">
        <v>5898</v>
      </c>
      <c r="H463" s="3" t="s">
        <v>6280</v>
      </c>
      <c r="I463" s="3" t="s">
        <v>6281</v>
      </c>
      <c r="J463" s="3" t="s">
        <v>5536</v>
      </c>
      <c r="K463" s="3" t="s">
        <v>6303</v>
      </c>
      <c r="L463" s="8" t="str">
        <f>HYPERLINK("http://slimages.macys.com/is/image/MCY/13909682 ")</f>
        <v xml:space="preserve">http://slimages.macys.com/is/image/MCY/13909682 </v>
      </c>
    </row>
    <row r="464" spans="1:12" ht="24.75" x14ac:dyDescent="0.25">
      <c r="A464" s="6" t="s">
        <v>6297</v>
      </c>
      <c r="B464" s="3" t="s">
        <v>6291</v>
      </c>
      <c r="C464" s="4">
        <v>1</v>
      </c>
      <c r="D464" s="5">
        <v>28</v>
      </c>
      <c r="E464" s="4">
        <v>87994501</v>
      </c>
      <c r="F464" s="3" t="s">
        <v>5532</v>
      </c>
      <c r="G464" s="7" t="s">
        <v>5898</v>
      </c>
      <c r="H464" s="3" t="s">
        <v>6280</v>
      </c>
      <c r="I464" s="3" t="s">
        <v>6281</v>
      </c>
      <c r="J464" s="3" t="s">
        <v>5536</v>
      </c>
      <c r="K464" s="3" t="s">
        <v>6292</v>
      </c>
      <c r="L464" s="8" t="str">
        <f>HYPERLINK("http://slimages.macys.com/is/image/MCY/16178983 ")</f>
        <v xml:space="preserve">http://slimages.macys.com/is/image/MCY/16178983 </v>
      </c>
    </row>
    <row r="465" spans="1:12" ht="24.75" x14ac:dyDescent="0.25">
      <c r="A465" s="6" t="s">
        <v>6377</v>
      </c>
      <c r="B465" s="3" t="s">
        <v>6378</v>
      </c>
      <c r="C465" s="4">
        <v>1</v>
      </c>
      <c r="D465" s="5">
        <v>28</v>
      </c>
      <c r="E465" s="4" t="s">
        <v>6379</v>
      </c>
      <c r="F465" s="3" t="s">
        <v>5532</v>
      </c>
      <c r="G465" s="7" t="s">
        <v>5898</v>
      </c>
      <c r="H465" s="3" t="s">
        <v>6280</v>
      </c>
      <c r="I465" s="3" t="s">
        <v>6288</v>
      </c>
      <c r="J465" s="3" t="s">
        <v>5536</v>
      </c>
      <c r="K465" s="3" t="s">
        <v>6295</v>
      </c>
      <c r="L465" s="8" t="str">
        <f>HYPERLINK("http://slimages.macys.com/is/image/MCY/15883244 ")</f>
        <v xml:space="preserve">http://slimages.macys.com/is/image/MCY/15883244 </v>
      </c>
    </row>
    <row r="466" spans="1:12" ht="24.75" x14ac:dyDescent="0.25">
      <c r="A466" s="6" t="s">
        <v>6285</v>
      </c>
      <c r="B466" s="3" t="s">
        <v>6286</v>
      </c>
      <c r="C466" s="4">
        <v>2</v>
      </c>
      <c r="D466" s="5">
        <v>56</v>
      </c>
      <c r="E466" s="4" t="s">
        <v>6287</v>
      </c>
      <c r="F466" s="3" t="s">
        <v>5540</v>
      </c>
      <c r="G466" s="7" t="s">
        <v>5898</v>
      </c>
      <c r="H466" s="3" t="s">
        <v>6280</v>
      </c>
      <c r="I466" s="3" t="s">
        <v>6288</v>
      </c>
      <c r="J466" s="3" t="s">
        <v>5536</v>
      </c>
      <c r="K466" s="3" t="s">
        <v>6289</v>
      </c>
      <c r="L466" s="8" t="str">
        <f>HYPERLINK("http://slimages.macys.com/is/image/MCY/15604747 ")</f>
        <v xml:space="preserve">http://slimages.macys.com/is/image/MCY/15604747 </v>
      </c>
    </row>
    <row r="467" spans="1:12" ht="24.75" x14ac:dyDescent="0.25">
      <c r="A467" s="6" t="s">
        <v>2391</v>
      </c>
      <c r="B467" s="3" t="s">
        <v>2392</v>
      </c>
      <c r="C467" s="4">
        <v>1</v>
      </c>
      <c r="D467" s="5">
        <v>28</v>
      </c>
      <c r="E467" s="4" t="s">
        <v>2393</v>
      </c>
      <c r="F467" s="3" t="s">
        <v>5625</v>
      </c>
      <c r="G467" s="7" t="s">
        <v>5898</v>
      </c>
      <c r="H467" s="3" t="s">
        <v>6280</v>
      </c>
      <c r="I467" s="3" t="s">
        <v>6288</v>
      </c>
      <c r="J467" s="3" t="s">
        <v>5536</v>
      </c>
      <c r="K467" s="3" t="s">
        <v>6295</v>
      </c>
      <c r="L467" s="8" t="str">
        <f>HYPERLINK("http://slimages.macys.com/is/image/MCY/15883264 ")</f>
        <v xml:space="preserve">http://slimages.macys.com/is/image/MCY/15883264 </v>
      </c>
    </row>
    <row r="468" spans="1:12" ht="24.75" x14ac:dyDescent="0.25">
      <c r="A468" s="6" t="s">
        <v>6278</v>
      </c>
      <c r="B468" s="3" t="s">
        <v>6279</v>
      </c>
      <c r="C468" s="4">
        <v>1</v>
      </c>
      <c r="D468" s="5">
        <v>28</v>
      </c>
      <c r="E468" s="4">
        <v>87594201</v>
      </c>
      <c r="F468" s="3" t="s">
        <v>5532</v>
      </c>
      <c r="G468" s="7" t="s">
        <v>5898</v>
      </c>
      <c r="H468" s="3" t="s">
        <v>6280</v>
      </c>
      <c r="I468" s="3" t="s">
        <v>6281</v>
      </c>
      <c r="J468" s="3" t="s">
        <v>5536</v>
      </c>
      <c r="K468" s="3" t="s">
        <v>5549</v>
      </c>
      <c r="L468" s="8" t="str">
        <f>HYPERLINK("http://slimages.macys.com/is/image/MCY/15882915 ")</f>
        <v xml:space="preserve">http://slimages.macys.com/is/image/MCY/15882915 </v>
      </c>
    </row>
    <row r="469" spans="1:12" ht="24.75" x14ac:dyDescent="0.25">
      <c r="A469" s="6" t="s">
        <v>6339</v>
      </c>
      <c r="B469" s="3" t="s">
        <v>6279</v>
      </c>
      <c r="C469" s="4">
        <v>2</v>
      </c>
      <c r="D469" s="5">
        <v>56</v>
      </c>
      <c r="E469" s="4">
        <v>87594201</v>
      </c>
      <c r="F469" s="3" t="s">
        <v>5532</v>
      </c>
      <c r="G469" s="7" t="s">
        <v>5898</v>
      </c>
      <c r="H469" s="3" t="s">
        <v>6280</v>
      </c>
      <c r="I469" s="3" t="s">
        <v>6281</v>
      </c>
      <c r="J469" s="3" t="s">
        <v>5536</v>
      </c>
      <c r="K469" s="3" t="s">
        <v>5549</v>
      </c>
      <c r="L469" s="8" t="str">
        <f>HYPERLINK("http://slimages.macys.com/is/image/MCY/15882915 ")</f>
        <v xml:space="preserve">http://slimages.macys.com/is/image/MCY/15882915 </v>
      </c>
    </row>
    <row r="470" spans="1:12" ht="24.75" x14ac:dyDescent="0.25">
      <c r="A470" s="6" t="s">
        <v>0</v>
      </c>
      <c r="B470" s="3" t="s">
        <v>1</v>
      </c>
      <c r="C470" s="4">
        <v>1</v>
      </c>
      <c r="D470" s="5">
        <v>28</v>
      </c>
      <c r="E470" s="4">
        <v>81993611</v>
      </c>
      <c r="F470" s="3" t="s">
        <v>5532</v>
      </c>
      <c r="G470" s="7" t="s">
        <v>5898</v>
      </c>
      <c r="H470" s="3" t="s">
        <v>6280</v>
      </c>
      <c r="I470" s="3" t="s">
        <v>6281</v>
      </c>
      <c r="J470" s="3" t="s">
        <v>5536</v>
      </c>
      <c r="K470" s="3" t="s">
        <v>6284</v>
      </c>
      <c r="L470" s="8" t="str">
        <f>HYPERLINK("http://slimages.macys.com/is/image/MCY/13907021 ")</f>
        <v xml:space="preserve">http://slimages.macys.com/is/image/MCY/13907021 </v>
      </c>
    </row>
    <row r="471" spans="1:12" ht="24.75" x14ac:dyDescent="0.25">
      <c r="A471" s="6" t="s">
        <v>6324</v>
      </c>
      <c r="B471" s="3" t="s">
        <v>6325</v>
      </c>
      <c r="C471" s="4">
        <v>2</v>
      </c>
      <c r="D471" s="5">
        <v>56</v>
      </c>
      <c r="E471" s="4" t="s">
        <v>6326</v>
      </c>
      <c r="F471" s="3" t="s">
        <v>5540</v>
      </c>
      <c r="G471" s="7" t="s">
        <v>5898</v>
      </c>
      <c r="H471" s="3" t="s">
        <v>6280</v>
      </c>
      <c r="I471" s="3" t="s">
        <v>6288</v>
      </c>
      <c r="J471" s="3" t="s">
        <v>5536</v>
      </c>
      <c r="K471" s="3" t="s">
        <v>6327</v>
      </c>
      <c r="L471" s="8" t="str">
        <f>HYPERLINK("http://slimages.macys.com/is/image/MCY/15145045 ")</f>
        <v xml:space="preserve">http://slimages.macys.com/is/image/MCY/15145045 </v>
      </c>
    </row>
    <row r="472" spans="1:12" ht="24.75" x14ac:dyDescent="0.25">
      <c r="A472" s="6" t="s">
        <v>4961</v>
      </c>
      <c r="B472" s="3" t="s">
        <v>4962</v>
      </c>
      <c r="C472" s="4">
        <v>1</v>
      </c>
      <c r="D472" s="5">
        <v>28</v>
      </c>
      <c r="E472" s="4" t="s">
        <v>4963</v>
      </c>
      <c r="F472" s="3" t="s">
        <v>5540</v>
      </c>
      <c r="G472" s="7" t="s">
        <v>5898</v>
      </c>
      <c r="H472" s="3" t="s">
        <v>6280</v>
      </c>
      <c r="I472" s="3" t="s">
        <v>6288</v>
      </c>
      <c r="J472" s="3" t="s">
        <v>5536</v>
      </c>
      <c r="K472" s="3" t="s">
        <v>6327</v>
      </c>
      <c r="L472" s="8" t="str">
        <f>HYPERLINK("http://slimages.macys.com/is/image/MCY/15145103 ")</f>
        <v xml:space="preserve">http://slimages.macys.com/is/image/MCY/15145103 </v>
      </c>
    </row>
    <row r="473" spans="1:12" ht="24.75" x14ac:dyDescent="0.25">
      <c r="A473" s="6" t="s">
        <v>4220</v>
      </c>
      <c r="B473" s="3" t="s">
        <v>6315</v>
      </c>
      <c r="C473" s="4">
        <v>1</v>
      </c>
      <c r="D473" s="5">
        <v>28</v>
      </c>
      <c r="E473" s="4">
        <v>87994301</v>
      </c>
      <c r="F473" s="3" t="s">
        <v>6983</v>
      </c>
      <c r="G473" s="7" t="s">
        <v>5898</v>
      </c>
      <c r="H473" s="3" t="s">
        <v>6280</v>
      </c>
      <c r="I473" s="3" t="s">
        <v>6281</v>
      </c>
      <c r="J473" s="3" t="s">
        <v>5536</v>
      </c>
      <c r="K473" s="3" t="s">
        <v>6316</v>
      </c>
      <c r="L473" s="8" t="str">
        <f>HYPERLINK("http://slimages.macys.com/is/image/MCY/15883995 ")</f>
        <v xml:space="preserve">http://slimages.macys.com/is/image/MCY/15883995 </v>
      </c>
    </row>
    <row r="474" spans="1:12" ht="24.75" x14ac:dyDescent="0.25">
      <c r="A474" s="6" t="s">
        <v>6322</v>
      </c>
      <c r="B474" s="3" t="s">
        <v>6323</v>
      </c>
      <c r="C474" s="4">
        <v>3</v>
      </c>
      <c r="D474" s="5">
        <v>84</v>
      </c>
      <c r="E474" s="4">
        <v>87933732</v>
      </c>
      <c r="F474" s="3" t="s">
        <v>5532</v>
      </c>
      <c r="G474" s="7" t="s">
        <v>5898</v>
      </c>
      <c r="H474" s="3" t="s">
        <v>6280</v>
      </c>
      <c r="I474" s="3" t="s">
        <v>6281</v>
      </c>
      <c r="J474" s="3" t="s">
        <v>5536</v>
      </c>
      <c r="K474" s="3" t="s">
        <v>6303</v>
      </c>
      <c r="L474" s="8" t="str">
        <f>HYPERLINK("http://slimages.macys.com/is/image/MCY/1753410 ")</f>
        <v xml:space="preserve">http://slimages.macys.com/is/image/MCY/1753410 </v>
      </c>
    </row>
    <row r="475" spans="1:12" ht="24.75" x14ac:dyDescent="0.25">
      <c r="A475" s="6" t="s">
        <v>6307</v>
      </c>
      <c r="B475" s="3" t="s">
        <v>6308</v>
      </c>
      <c r="C475" s="4">
        <v>1</v>
      </c>
      <c r="D475" s="5">
        <v>28</v>
      </c>
      <c r="E475" s="4">
        <v>87984402</v>
      </c>
      <c r="F475" s="3" t="s">
        <v>5552</v>
      </c>
      <c r="G475" s="7" t="s">
        <v>5898</v>
      </c>
      <c r="H475" s="3" t="s">
        <v>6280</v>
      </c>
      <c r="I475" s="3" t="s">
        <v>6281</v>
      </c>
      <c r="J475" s="3" t="s">
        <v>5536</v>
      </c>
      <c r="K475" s="3" t="s">
        <v>6295</v>
      </c>
      <c r="L475" s="8" t="str">
        <f>HYPERLINK("http://slimages.macys.com/is/image/MCY/11859711 ")</f>
        <v xml:space="preserve">http://slimages.macys.com/is/image/MCY/11859711 </v>
      </c>
    </row>
    <row r="476" spans="1:12" ht="24.75" x14ac:dyDescent="0.25">
      <c r="A476" s="6" t="s">
        <v>6361</v>
      </c>
      <c r="B476" s="3" t="s">
        <v>6325</v>
      </c>
      <c r="C476" s="4">
        <v>1</v>
      </c>
      <c r="D476" s="5">
        <v>28</v>
      </c>
      <c r="E476" s="4" t="s">
        <v>6326</v>
      </c>
      <c r="F476" s="3" t="s">
        <v>5754</v>
      </c>
      <c r="G476" s="7" t="s">
        <v>5898</v>
      </c>
      <c r="H476" s="3" t="s">
        <v>6280</v>
      </c>
      <c r="I476" s="3" t="s">
        <v>6288</v>
      </c>
      <c r="J476" s="3" t="s">
        <v>5536</v>
      </c>
      <c r="K476" s="3" t="s">
        <v>6327</v>
      </c>
      <c r="L476" s="8" t="str">
        <f>HYPERLINK("http://slimages.macys.com/is/image/MCY/15145045 ")</f>
        <v xml:space="preserve">http://slimages.macys.com/is/image/MCY/15145045 </v>
      </c>
    </row>
    <row r="477" spans="1:12" ht="36.75" x14ac:dyDescent="0.25">
      <c r="A477" s="6" t="s">
        <v>6318</v>
      </c>
      <c r="B477" s="3" t="s">
        <v>6319</v>
      </c>
      <c r="C477" s="4">
        <v>1</v>
      </c>
      <c r="D477" s="5">
        <v>28</v>
      </c>
      <c r="E477" s="4" t="s">
        <v>6320</v>
      </c>
      <c r="F477" s="3" t="s">
        <v>5754</v>
      </c>
      <c r="G477" s="7" t="s">
        <v>5898</v>
      </c>
      <c r="H477" s="3" t="s">
        <v>6280</v>
      </c>
      <c r="I477" s="3" t="s">
        <v>6288</v>
      </c>
      <c r="J477" s="3" t="s">
        <v>5536</v>
      </c>
      <c r="K477" s="3" t="s">
        <v>6321</v>
      </c>
      <c r="L477" s="8" t="str">
        <f>HYPERLINK("http://slimages.macys.com/is/image/MCY/15661626 ")</f>
        <v xml:space="preserve">http://slimages.macys.com/is/image/MCY/15661626 </v>
      </c>
    </row>
    <row r="478" spans="1:12" ht="24.75" x14ac:dyDescent="0.25">
      <c r="A478" s="6" t="s">
        <v>2</v>
      </c>
      <c r="B478" s="3" t="s">
        <v>6452</v>
      </c>
      <c r="C478" s="4">
        <v>2</v>
      </c>
      <c r="D478" s="5">
        <v>55.98</v>
      </c>
      <c r="E478" s="4" t="s">
        <v>6453</v>
      </c>
      <c r="F478" s="3" t="s">
        <v>6496</v>
      </c>
      <c r="G478" s="7" t="s">
        <v>6252</v>
      </c>
      <c r="H478" s="3" t="s">
        <v>6280</v>
      </c>
      <c r="I478" s="3" t="s">
        <v>6420</v>
      </c>
      <c r="J478" s="3" t="s">
        <v>5536</v>
      </c>
      <c r="K478" s="3" t="s">
        <v>5727</v>
      </c>
      <c r="L478" s="8" t="str">
        <f>HYPERLINK("http://slimages.macys.com/is/image/MCY/16125391 ")</f>
        <v xml:space="preserve">http://slimages.macys.com/is/image/MCY/16125391 </v>
      </c>
    </row>
    <row r="479" spans="1:12" ht="24.75" x14ac:dyDescent="0.25">
      <c r="A479" s="6" t="s">
        <v>3</v>
      </c>
      <c r="B479" s="3" t="s">
        <v>4</v>
      </c>
      <c r="C479" s="4">
        <v>2</v>
      </c>
      <c r="D479" s="5">
        <v>55.98</v>
      </c>
      <c r="E479" s="4" t="s">
        <v>5</v>
      </c>
      <c r="F479" s="3" t="s">
        <v>5625</v>
      </c>
      <c r="G479" s="7" t="s">
        <v>6252</v>
      </c>
      <c r="H479" s="3" t="s">
        <v>6280</v>
      </c>
      <c r="I479" s="3" t="s">
        <v>6420</v>
      </c>
      <c r="J479" s="3" t="s">
        <v>5536</v>
      </c>
      <c r="K479" s="3" t="s">
        <v>5727</v>
      </c>
      <c r="L479" s="8" t="str">
        <f>HYPERLINK("http://slimages.macys.com/is/image/MCY/13466645 ")</f>
        <v xml:space="preserve">http://slimages.macys.com/is/image/MCY/13466645 </v>
      </c>
    </row>
    <row r="480" spans="1:12" ht="24.75" x14ac:dyDescent="0.25">
      <c r="A480" s="6" t="s">
        <v>6</v>
      </c>
      <c r="B480" s="3" t="s">
        <v>6442</v>
      </c>
      <c r="C480" s="4">
        <v>1</v>
      </c>
      <c r="D480" s="5">
        <v>27.99</v>
      </c>
      <c r="E480" s="4" t="s">
        <v>6443</v>
      </c>
      <c r="F480" s="3" t="s">
        <v>5661</v>
      </c>
      <c r="G480" s="7" t="s">
        <v>6252</v>
      </c>
      <c r="H480" s="3" t="s">
        <v>6280</v>
      </c>
      <c r="I480" s="3" t="s">
        <v>6420</v>
      </c>
      <c r="J480" s="3" t="s">
        <v>5536</v>
      </c>
      <c r="K480" s="3" t="s">
        <v>6303</v>
      </c>
      <c r="L480" s="8" t="str">
        <f>HYPERLINK("http://slimages.macys.com/is/image/MCY/11181486 ")</f>
        <v xml:space="preserve">http://slimages.macys.com/is/image/MCY/11181486 </v>
      </c>
    </row>
    <row r="481" spans="1:12" ht="24.75" x14ac:dyDescent="0.25">
      <c r="A481" s="6" t="s">
        <v>7</v>
      </c>
      <c r="B481" s="3" t="s">
        <v>8</v>
      </c>
      <c r="C481" s="4">
        <v>1</v>
      </c>
      <c r="D481" s="5">
        <v>27.99</v>
      </c>
      <c r="E481" s="4" t="s">
        <v>9</v>
      </c>
      <c r="F481" s="3" t="s">
        <v>5532</v>
      </c>
      <c r="G481" s="7" t="s">
        <v>6252</v>
      </c>
      <c r="H481" s="3" t="s">
        <v>6280</v>
      </c>
      <c r="I481" s="3" t="s">
        <v>6420</v>
      </c>
      <c r="J481" s="3" t="s">
        <v>5536</v>
      </c>
      <c r="K481" s="3" t="s">
        <v>6338</v>
      </c>
      <c r="L481" s="8" t="str">
        <f>HYPERLINK("http://slimages.macys.com/is/image/MCY/10746659 ")</f>
        <v xml:space="preserve">http://slimages.macys.com/is/image/MCY/10746659 </v>
      </c>
    </row>
    <row r="482" spans="1:12" ht="24.75" x14ac:dyDescent="0.25">
      <c r="A482" s="6" t="s">
        <v>10</v>
      </c>
      <c r="B482" s="3" t="s">
        <v>11</v>
      </c>
      <c r="C482" s="4">
        <v>1</v>
      </c>
      <c r="D482" s="5">
        <v>27.99</v>
      </c>
      <c r="E482" s="4" t="s">
        <v>12</v>
      </c>
      <c r="F482" s="3" t="s">
        <v>5532</v>
      </c>
      <c r="G482" s="7" t="s">
        <v>6252</v>
      </c>
      <c r="H482" s="3" t="s">
        <v>6280</v>
      </c>
      <c r="I482" s="3" t="s">
        <v>13</v>
      </c>
      <c r="J482" s="3" t="s">
        <v>5536</v>
      </c>
      <c r="K482" s="3" t="s">
        <v>14</v>
      </c>
      <c r="L482" s="8" t="str">
        <f>HYPERLINK("http://slimages.macys.com/is/image/MCY/11796782 ")</f>
        <v xml:space="preserve">http://slimages.macys.com/is/image/MCY/11796782 </v>
      </c>
    </row>
    <row r="483" spans="1:12" ht="24.75" x14ac:dyDescent="0.25">
      <c r="A483" s="6" t="s">
        <v>15</v>
      </c>
      <c r="B483" s="3" t="s">
        <v>16</v>
      </c>
      <c r="C483" s="4">
        <v>1</v>
      </c>
      <c r="D483" s="5">
        <v>27.99</v>
      </c>
      <c r="E483" s="4" t="s">
        <v>17</v>
      </c>
      <c r="F483" s="3" t="s">
        <v>5532</v>
      </c>
      <c r="G483" s="7" t="s">
        <v>6252</v>
      </c>
      <c r="H483" s="3" t="s">
        <v>6280</v>
      </c>
      <c r="I483" s="3" t="s">
        <v>13</v>
      </c>
      <c r="J483" s="3" t="s">
        <v>5536</v>
      </c>
      <c r="K483" s="3" t="s">
        <v>3167</v>
      </c>
      <c r="L483" s="8" t="str">
        <f>HYPERLINK("http://slimages.macys.com/is/image/MCY/12354294 ")</f>
        <v xml:space="preserve">http://slimages.macys.com/is/image/MCY/12354294 </v>
      </c>
    </row>
    <row r="484" spans="1:12" ht="24.75" x14ac:dyDescent="0.25">
      <c r="A484" s="6" t="s">
        <v>18</v>
      </c>
      <c r="B484" s="3" t="s">
        <v>19</v>
      </c>
      <c r="C484" s="4">
        <v>1</v>
      </c>
      <c r="D484" s="5">
        <v>27.99</v>
      </c>
      <c r="E484" s="4" t="s">
        <v>20</v>
      </c>
      <c r="F484" s="3" t="s">
        <v>5552</v>
      </c>
      <c r="G484" s="7" t="s">
        <v>5898</v>
      </c>
      <c r="H484" s="3" t="s">
        <v>6280</v>
      </c>
      <c r="I484" s="3" t="s">
        <v>13</v>
      </c>
      <c r="J484" s="3" t="s">
        <v>5536</v>
      </c>
      <c r="K484" s="3" t="s">
        <v>6092</v>
      </c>
      <c r="L484" s="8" t="str">
        <f>HYPERLINK("http://slimages.macys.com/is/image/MCY/3406944 ")</f>
        <v xml:space="preserve">http://slimages.macys.com/is/image/MCY/3406944 </v>
      </c>
    </row>
    <row r="485" spans="1:12" ht="24.75" x14ac:dyDescent="0.25">
      <c r="A485" s="6" t="s">
        <v>21</v>
      </c>
      <c r="B485" s="3" t="s">
        <v>22</v>
      </c>
      <c r="C485" s="4">
        <v>1</v>
      </c>
      <c r="D485" s="5">
        <v>27.99</v>
      </c>
      <c r="E485" s="4" t="s">
        <v>23</v>
      </c>
      <c r="F485" s="3" t="s">
        <v>6335</v>
      </c>
      <c r="G485" s="7" t="s">
        <v>6252</v>
      </c>
      <c r="H485" s="3" t="s">
        <v>6280</v>
      </c>
      <c r="I485" s="3" t="s">
        <v>13</v>
      </c>
      <c r="J485" s="3" t="s">
        <v>5536</v>
      </c>
      <c r="K485" s="3" t="s">
        <v>5549</v>
      </c>
      <c r="L485" s="8" t="str">
        <f>HYPERLINK("http://slimages.macys.com/is/image/MCY/11282069 ")</f>
        <v xml:space="preserve">http://slimages.macys.com/is/image/MCY/11282069 </v>
      </c>
    </row>
    <row r="486" spans="1:12" ht="24.75" x14ac:dyDescent="0.25">
      <c r="A486" s="6" t="s">
        <v>24</v>
      </c>
      <c r="B486" s="3" t="s">
        <v>25</v>
      </c>
      <c r="C486" s="4">
        <v>1</v>
      </c>
      <c r="D486" s="5">
        <v>27.99</v>
      </c>
      <c r="E486" s="4" t="s">
        <v>26</v>
      </c>
      <c r="F486" s="3" t="s">
        <v>5803</v>
      </c>
      <c r="G486" s="7" t="s">
        <v>6252</v>
      </c>
      <c r="H486" s="3" t="s">
        <v>6280</v>
      </c>
      <c r="I486" s="3" t="s">
        <v>13</v>
      </c>
      <c r="J486" s="3" t="s">
        <v>5536</v>
      </c>
      <c r="K486" s="3" t="s">
        <v>5574</v>
      </c>
      <c r="L486" s="8" t="str">
        <f>HYPERLINK("http://slimages.macys.com/is/image/MCY/10048396 ")</f>
        <v xml:space="preserve">http://slimages.macys.com/is/image/MCY/10048396 </v>
      </c>
    </row>
    <row r="487" spans="1:12" ht="24.75" x14ac:dyDescent="0.25">
      <c r="A487" s="6" t="s">
        <v>27</v>
      </c>
      <c r="B487" s="3" t="s">
        <v>6445</v>
      </c>
      <c r="C487" s="4">
        <v>1</v>
      </c>
      <c r="D487" s="5">
        <v>27.99</v>
      </c>
      <c r="E487" s="4" t="s">
        <v>6446</v>
      </c>
      <c r="F487" s="3" t="s">
        <v>5566</v>
      </c>
      <c r="G487" s="7" t="s">
        <v>6252</v>
      </c>
      <c r="H487" s="3" t="s">
        <v>6280</v>
      </c>
      <c r="I487" s="3" t="s">
        <v>6420</v>
      </c>
      <c r="J487" s="3" t="s">
        <v>5536</v>
      </c>
      <c r="K487" s="3" t="s">
        <v>5727</v>
      </c>
      <c r="L487" s="8" t="str">
        <f>HYPERLINK("http://slimages.macys.com/is/image/MCY/10891303 ")</f>
        <v xml:space="preserve">http://slimages.macys.com/is/image/MCY/10891303 </v>
      </c>
    </row>
    <row r="488" spans="1:12" ht="24.75" x14ac:dyDescent="0.25">
      <c r="A488" s="6" t="s">
        <v>28</v>
      </c>
      <c r="B488" s="3" t="s">
        <v>29</v>
      </c>
      <c r="C488" s="4">
        <v>2</v>
      </c>
      <c r="D488" s="5">
        <v>55.98</v>
      </c>
      <c r="E488" s="4" t="s">
        <v>30</v>
      </c>
      <c r="F488" s="3" t="s">
        <v>5532</v>
      </c>
      <c r="G488" s="7" t="s">
        <v>6252</v>
      </c>
      <c r="H488" s="3" t="s">
        <v>6280</v>
      </c>
      <c r="I488" s="3" t="s">
        <v>13</v>
      </c>
      <c r="J488" s="3" t="s">
        <v>5536</v>
      </c>
      <c r="K488" s="3" t="s">
        <v>6610</v>
      </c>
      <c r="L488" s="8" t="str">
        <f>HYPERLINK("http://slimages.macys.com/is/image/MCY/12354307 ")</f>
        <v xml:space="preserve">http://slimages.macys.com/is/image/MCY/12354307 </v>
      </c>
    </row>
    <row r="489" spans="1:12" ht="24.75" x14ac:dyDescent="0.25">
      <c r="A489" s="6" t="s">
        <v>31</v>
      </c>
      <c r="B489" s="3" t="s">
        <v>32</v>
      </c>
      <c r="C489" s="4">
        <v>2</v>
      </c>
      <c r="D489" s="5">
        <v>55.98</v>
      </c>
      <c r="E489" s="4" t="s">
        <v>33</v>
      </c>
      <c r="F489" s="3" t="s">
        <v>4724</v>
      </c>
      <c r="G489" s="7" t="s">
        <v>6252</v>
      </c>
      <c r="H489" s="3" t="s">
        <v>6280</v>
      </c>
      <c r="I489" s="3" t="s">
        <v>13</v>
      </c>
      <c r="J489" s="3" t="s">
        <v>5536</v>
      </c>
      <c r="K489" s="3" t="s">
        <v>6610</v>
      </c>
      <c r="L489" s="8" t="str">
        <f>HYPERLINK("http://slimages.macys.com/is/image/MCY/12354318 ")</f>
        <v xml:space="preserve">http://slimages.macys.com/is/image/MCY/12354318 </v>
      </c>
    </row>
    <row r="490" spans="1:12" ht="24.75" x14ac:dyDescent="0.25">
      <c r="A490" s="6" t="s">
        <v>34</v>
      </c>
      <c r="B490" s="3" t="s">
        <v>35</v>
      </c>
      <c r="C490" s="4">
        <v>1</v>
      </c>
      <c r="D490" s="5">
        <v>27.99</v>
      </c>
      <c r="E490" s="4" t="s">
        <v>36</v>
      </c>
      <c r="F490" s="3" t="s">
        <v>6983</v>
      </c>
      <c r="G490" s="7" t="s">
        <v>6252</v>
      </c>
      <c r="H490" s="3" t="s">
        <v>6280</v>
      </c>
      <c r="I490" s="3" t="s">
        <v>13</v>
      </c>
      <c r="J490" s="3" t="s">
        <v>5536</v>
      </c>
      <c r="K490" s="3" t="s">
        <v>452</v>
      </c>
      <c r="L490" s="8" t="str">
        <f>HYPERLINK("http://slimages.macys.com/is/image/MCY/10654747 ")</f>
        <v xml:space="preserve">http://slimages.macys.com/is/image/MCY/10654747 </v>
      </c>
    </row>
    <row r="491" spans="1:12" ht="24.75" x14ac:dyDescent="0.25">
      <c r="A491" s="6" t="s">
        <v>37</v>
      </c>
      <c r="B491" s="3" t="s">
        <v>38</v>
      </c>
      <c r="C491" s="4">
        <v>1</v>
      </c>
      <c r="D491" s="5">
        <v>27.99</v>
      </c>
      <c r="E491" s="4" t="s">
        <v>39</v>
      </c>
      <c r="F491" s="3" t="s">
        <v>5640</v>
      </c>
      <c r="G491" s="7" t="s">
        <v>6252</v>
      </c>
      <c r="H491" s="3" t="s">
        <v>6280</v>
      </c>
      <c r="I491" s="3" t="s">
        <v>13</v>
      </c>
      <c r="J491" s="3" t="s">
        <v>5536</v>
      </c>
      <c r="K491" s="3" t="s">
        <v>5587</v>
      </c>
      <c r="L491" s="8" t="str">
        <f>HYPERLINK("http://slimages.macys.com/is/image/MCY/10654824 ")</f>
        <v xml:space="preserve">http://slimages.macys.com/is/image/MCY/10654824 </v>
      </c>
    </row>
    <row r="492" spans="1:12" ht="24.75" x14ac:dyDescent="0.25">
      <c r="A492" s="6" t="s">
        <v>40</v>
      </c>
      <c r="B492" s="3" t="s">
        <v>41</v>
      </c>
      <c r="C492" s="4">
        <v>1</v>
      </c>
      <c r="D492" s="5">
        <v>27.99</v>
      </c>
      <c r="E492" s="4" t="s">
        <v>6419</v>
      </c>
      <c r="F492" s="3" t="s">
        <v>5532</v>
      </c>
      <c r="G492" s="7" t="s">
        <v>6252</v>
      </c>
      <c r="H492" s="3" t="s">
        <v>6280</v>
      </c>
      <c r="I492" s="3" t="s">
        <v>6420</v>
      </c>
      <c r="J492" s="3" t="s">
        <v>5536</v>
      </c>
      <c r="K492" s="3" t="s">
        <v>5727</v>
      </c>
      <c r="L492" s="8" t="str">
        <f>HYPERLINK("http://slimages.macys.com/is/image/MCY/15133354 ")</f>
        <v xml:space="preserve">http://slimages.macys.com/is/image/MCY/15133354 </v>
      </c>
    </row>
    <row r="493" spans="1:12" ht="24.75" x14ac:dyDescent="0.25">
      <c r="A493" s="6" t="s">
        <v>2395</v>
      </c>
      <c r="B493" s="3" t="s">
        <v>6455</v>
      </c>
      <c r="C493" s="4">
        <v>1</v>
      </c>
      <c r="D493" s="5">
        <v>27.99</v>
      </c>
      <c r="E493" s="4" t="s">
        <v>6456</v>
      </c>
      <c r="F493" s="3" t="s">
        <v>5532</v>
      </c>
      <c r="G493" s="7" t="s">
        <v>6252</v>
      </c>
      <c r="H493" s="3" t="s">
        <v>6280</v>
      </c>
      <c r="I493" s="3" t="s">
        <v>6420</v>
      </c>
      <c r="J493" s="3" t="s">
        <v>5536</v>
      </c>
      <c r="K493" s="3" t="s">
        <v>5727</v>
      </c>
      <c r="L493" s="8" t="str">
        <f>HYPERLINK("http://slimages.macys.com/is/image/MCY/15133430 ")</f>
        <v xml:space="preserve">http://slimages.macys.com/is/image/MCY/15133430 </v>
      </c>
    </row>
    <row r="494" spans="1:12" ht="24.75" x14ac:dyDescent="0.25">
      <c r="A494" s="6" t="s">
        <v>6454</v>
      </c>
      <c r="B494" s="3" t="s">
        <v>6455</v>
      </c>
      <c r="C494" s="4">
        <v>1</v>
      </c>
      <c r="D494" s="5">
        <v>27.99</v>
      </c>
      <c r="E494" s="4" t="s">
        <v>6456</v>
      </c>
      <c r="F494" s="3" t="s">
        <v>5540</v>
      </c>
      <c r="G494" s="7" t="s">
        <v>6252</v>
      </c>
      <c r="H494" s="3" t="s">
        <v>6280</v>
      </c>
      <c r="I494" s="3" t="s">
        <v>6420</v>
      </c>
      <c r="J494" s="3" t="s">
        <v>5536</v>
      </c>
      <c r="K494" s="3" t="s">
        <v>5727</v>
      </c>
      <c r="L494" s="8" t="str">
        <f>HYPERLINK("http://slimages.macys.com/is/image/MCY/15133430 ")</f>
        <v xml:space="preserve">http://slimages.macys.com/is/image/MCY/15133430 </v>
      </c>
    </row>
    <row r="495" spans="1:12" ht="24.75" x14ac:dyDescent="0.25">
      <c r="A495" s="6" t="s">
        <v>42</v>
      </c>
      <c r="B495" s="3" t="s">
        <v>41</v>
      </c>
      <c r="C495" s="4">
        <v>2</v>
      </c>
      <c r="D495" s="5">
        <v>55.98</v>
      </c>
      <c r="E495" s="4" t="s">
        <v>6419</v>
      </c>
      <c r="F495" s="3" t="s">
        <v>5754</v>
      </c>
      <c r="G495" s="7" t="s">
        <v>6252</v>
      </c>
      <c r="H495" s="3" t="s">
        <v>6280</v>
      </c>
      <c r="I495" s="3" t="s">
        <v>6420</v>
      </c>
      <c r="J495" s="3" t="s">
        <v>5536</v>
      </c>
      <c r="K495" s="3" t="s">
        <v>5727</v>
      </c>
      <c r="L495" s="8" t="str">
        <f>HYPERLINK("http://slimages.macys.com/is/image/MCY/15133354 ")</f>
        <v xml:space="preserve">http://slimages.macys.com/is/image/MCY/15133354 </v>
      </c>
    </row>
    <row r="496" spans="1:12" x14ac:dyDescent="0.25">
      <c r="A496" s="6" t="s">
        <v>43</v>
      </c>
      <c r="B496" s="3" t="s">
        <v>1366</v>
      </c>
      <c r="C496" s="4">
        <v>1</v>
      </c>
      <c r="D496" s="5">
        <v>29.5</v>
      </c>
      <c r="E496" s="4">
        <v>100084830</v>
      </c>
      <c r="F496" s="3" t="s">
        <v>5578</v>
      </c>
      <c r="G496" s="7" t="s">
        <v>5533</v>
      </c>
      <c r="H496" s="3" t="s">
        <v>5585</v>
      </c>
      <c r="I496" s="3" t="s">
        <v>5734</v>
      </c>
      <c r="J496" s="3" t="s">
        <v>5536</v>
      </c>
      <c r="K496" s="3" t="s">
        <v>5574</v>
      </c>
      <c r="L496" s="8" t="str">
        <f>HYPERLINK("http://slimages.macys.com/is/image/MCY/15889048 ")</f>
        <v xml:space="preserve">http://slimages.macys.com/is/image/MCY/15889048 </v>
      </c>
    </row>
    <row r="497" spans="1:12" x14ac:dyDescent="0.25">
      <c r="A497" s="6" t="s">
        <v>44</v>
      </c>
      <c r="B497" s="3" t="s">
        <v>4255</v>
      </c>
      <c r="C497" s="4">
        <v>1</v>
      </c>
      <c r="D497" s="5">
        <v>59.5</v>
      </c>
      <c r="E497" s="4">
        <v>100068752</v>
      </c>
      <c r="F497" s="3" t="s">
        <v>7010</v>
      </c>
      <c r="G497" s="7" t="s">
        <v>5582</v>
      </c>
      <c r="H497" s="3" t="s">
        <v>5585</v>
      </c>
      <c r="I497" s="3" t="s">
        <v>5734</v>
      </c>
      <c r="J497" s="3" t="s">
        <v>5536</v>
      </c>
      <c r="K497" s="3" t="s">
        <v>6494</v>
      </c>
      <c r="L497" s="8" t="str">
        <f>HYPERLINK("http://slimages.macys.com/is/image/MCY/14573839 ")</f>
        <v xml:space="preserve">http://slimages.macys.com/is/image/MCY/14573839 </v>
      </c>
    </row>
    <row r="498" spans="1:12" x14ac:dyDescent="0.25">
      <c r="A498" s="6" t="s">
        <v>45</v>
      </c>
      <c r="B498" s="3" t="s">
        <v>4255</v>
      </c>
      <c r="C498" s="4">
        <v>1</v>
      </c>
      <c r="D498" s="5">
        <v>59.5</v>
      </c>
      <c r="E498" s="4">
        <v>100068752</v>
      </c>
      <c r="F498" s="3" t="s">
        <v>5820</v>
      </c>
      <c r="G498" s="7" t="s">
        <v>5598</v>
      </c>
      <c r="H498" s="3" t="s">
        <v>5585</v>
      </c>
      <c r="I498" s="3" t="s">
        <v>5734</v>
      </c>
      <c r="J498" s="3" t="s">
        <v>5536</v>
      </c>
      <c r="K498" s="3" t="s">
        <v>6494</v>
      </c>
      <c r="L498" s="8" t="str">
        <f>HYPERLINK("http://slimages.macys.com/is/image/MCY/14573839 ")</f>
        <v xml:space="preserve">http://slimages.macys.com/is/image/MCY/14573839 </v>
      </c>
    </row>
    <row r="499" spans="1:12" ht="24.75" x14ac:dyDescent="0.25">
      <c r="A499" s="6" t="s">
        <v>46</v>
      </c>
      <c r="B499" s="3" t="s">
        <v>4255</v>
      </c>
      <c r="C499" s="4">
        <v>1</v>
      </c>
      <c r="D499" s="5">
        <v>59.5</v>
      </c>
      <c r="E499" s="4">
        <v>100068752</v>
      </c>
      <c r="F499" s="3" t="s">
        <v>4871</v>
      </c>
      <c r="G499" s="7" t="s">
        <v>5733</v>
      </c>
      <c r="H499" s="3" t="s">
        <v>5585</v>
      </c>
      <c r="I499" s="3" t="s">
        <v>5734</v>
      </c>
      <c r="J499" s="3" t="s">
        <v>5536</v>
      </c>
      <c r="K499" s="3" t="s">
        <v>6494</v>
      </c>
      <c r="L499" s="8" t="str">
        <f>HYPERLINK("http://slimages.macys.com/is/image/MCY/14573839 ")</f>
        <v xml:space="preserve">http://slimages.macys.com/is/image/MCY/14573839 </v>
      </c>
    </row>
    <row r="500" spans="1:12" ht="24.75" x14ac:dyDescent="0.25">
      <c r="A500" s="6" t="s">
        <v>47</v>
      </c>
      <c r="B500" s="3" t="s">
        <v>6465</v>
      </c>
      <c r="C500" s="4">
        <v>1</v>
      </c>
      <c r="D500" s="5">
        <v>23</v>
      </c>
      <c r="E500" s="4" t="s">
        <v>6466</v>
      </c>
      <c r="F500" s="3" t="s">
        <v>5552</v>
      </c>
      <c r="G500" s="7" t="s">
        <v>6476</v>
      </c>
      <c r="H500" s="3" t="s">
        <v>5825</v>
      </c>
      <c r="I500" s="3" t="s">
        <v>5826</v>
      </c>
      <c r="J500" s="3" t="s">
        <v>5536</v>
      </c>
      <c r="K500" s="3" t="s">
        <v>5594</v>
      </c>
      <c r="L500" s="8" t="str">
        <f>HYPERLINK("http://slimages.macys.com/is/image/MCY/10267363 ")</f>
        <v xml:space="preserve">http://slimages.macys.com/is/image/MCY/10267363 </v>
      </c>
    </row>
    <row r="501" spans="1:12" ht="24.75" x14ac:dyDescent="0.25">
      <c r="A501" s="6" t="s">
        <v>4256</v>
      </c>
      <c r="B501" s="3" t="s">
        <v>6471</v>
      </c>
      <c r="C501" s="4">
        <v>1</v>
      </c>
      <c r="D501" s="5">
        <v>23</v>
      </c>
      <c r="E501" s="4" t="s">
        <v>6472</v>
      </c>
      <c r="F501" s="3" t="s">
        <v>5532</v>
      </c>
      <c r="G501" s="7"/>
      <c r="H501" s="3" t="s">
        <v>5825</v>
      </c>
      <c r="I501" s="3" t="s">
        <v>5826</v>
      </c>
      <c r="J501" s="3" t="s">
        <v>5536</v>
      </c>
      <c r="K501" s="3" t="s">
        <v>5594</v>
      </c>
      <c r="L501" s="8" t="str">
        <f>HYPERLINK("http://slimages.macys.com/is/image/MCY/10267363 ")</f>
        <v xml:space="preserve">http://slimages.macys.com/is/image/MCY/10267363 </v>
      </c>
    </row>
    <row r="502" spans="1:12" ht="24.75" x14ac:dyDescent="0.25">
      <c r="A502" s="6" t="s">
        <v>3200</v>
      </c>
      <c r="B502" s="3" t="s">
        <v>6471</v>
      </c>
      <c r="C502" s="4">
        <v>1</v>
      </c>
      <c r="D502" s="5">
        <v>23</v>
      </c>
      <c r="E502" s="4" t="s">
        <v>6472</v>
      </c>
      <c r="F502" s="3" t="s">
        <v>5532</v>
      </c>
      <c r="G502" s="7" t="s">
        <v>5766</v>
      </c>
      <c r="H502" s="3" t="s">
        <v>5825</v>
      </c>
      <c r="I502" s="3" t="s">
        <v>5826</v>
      </c>
      <c r="J502" s="3" t="s">
        <v>5536</v>
      </c>
      <c r="K502" s="3" t="s">
        <v>5594</v>
      </c>
      <c r="L502" s="8" t="str">
        <f>HYPERLINK("http://slimages.macys.com/is/image/MCY/10267363 ")</f>
        <v xml:space="preserve">http://slimages.macys.com/is/image/MCY/10267363 </v>
      </c>
    </row>
    <row r="503" spans="1:12" ht="24.75" x14ac:dyDescent="0.25">
      <c r="A503" s="6" t="s">
        <v>48</v>
      </c>
      <c r="B503" s="3" t="s">
        <v>2369</v>
      </c>
      <c r="C503" s="4">
        <v>1</v>
      </c>
      <c r="D503" s="5">
        <v>25</v>
      </c>
      <c r="E503" s="4" t="s">
        <v>2370</v>
      </c>
      <c r="F503" s="3" t="s">
        <v>5783</v>
      </c>
      <c r="G503" s="7"/>
      <c r="H503" s="3" t="s">
        <v>5825</v>
      </c>
      <c r="I503" s="3" t="s">
        <v>6265</v>
      </c>
      <c r="J503" s="3" t="s">
        <v>5536</v>
      </c>
      <c r="K503" s="3" t="s">
        <v>6266</v>
      </c>
      <c r="L503" s="8" t="str">
        <f>HYPERLINK("http://slimages.macys.com/is/image/MCY/13769557 ")</f>
        <v xml:space="preserve">http://slimages.macys.com/is/image/MCY/13769557 </v>
      </c>
    </row>
    <row r="504" spans="1:12" ht="24.75" x14ac:dyDescent="0.25">
      <c r="A504" s="6" t="s">
        <v>6474</v>
      </c>
      <c r="B504" s="3" t="s">
        <v>6471</v>
      </c>
      <c r="C504" s="4">
        <v>1</v>
      </c>
      <c r="D504" s="5">
        <v>23</v>
      </c>
      <c r="E504" s="4" t="s">
        <v>6472</v>
      </c>
      <c r="F504" s="3" t="s">
        <v>5532</v>
      </c>
      <c r="G504" s="7" t="s">
        <v>5835</v>
      </c>
      <c r="H504" s="3" t="s">
        <v>5825</v>
      </c>
      <c r="I504" s="3" t="s">
        <v>5826</v>
      </c>
      <c r="J504" s="3" t="s">
        <v>5536</v>
      </c>
      <c r="K504" s="3" t="s">
        <v>5594</v>
      </c>
      <c r="L504" s="8" t="str">
        <f>HYPERLINK("http://slimages.macys.com/is/image/MCY/10267363 ")</f>
        <v xml:space="preserve">http://slimages.macys.com/is/image/MCY/10267363 </v>
      </c>
    </row>
    <row r="505" spans="1:12" ht="24.75" x14ac:dyDescent="0.25">
      <c r="A505" s="6" t="s">
        <v>49</v>
      </c>
      <c r="B505" s="3" t="s">
        <v>6465</v>
      </c>
      <c r="C505" s="4">
        <v>1</v>
      </c>
      <c r="D505" s="5">
        <v>23</v>
      </c>
      <c r="E505" s="4" t="s">
        <v>6466</v>
      </c>
      <c r="F505" s="3" t="s">
        <v>5552</v>
      </c>
      <c r="G505" s="7" t="s">
        <v>5766</v>
      </c>
      <c r="H505" s="3" t="s">
        <v>5825</v>
      </c>
      <c r="I505" s="3" t="s">
        <v>5826</v>
      </c>
      <c r="J505" s="3" t="s">
        <v>5536</v>
      </c>
      <c r="K505" s="3" t="s">
        <v>5594</v>
      </c>
      <c r="L505" s="8" t="str">
        <f>HYPERLINK("http://slimages.macys.com/is/image/MCY/10267363 ")</f>
        <v xml:space="preserve">http://slimages.macys.com/is/image/MCY/10267363 </v>
      </c>
    </row>
    <row r="506" spans="1:12" ht="24.75" x14ac:dyDescent="0.25">
      <c r="A506" s="6" t="s">
        <v>6473</v>
      </c>
      <c r="B506" s="3" t="s">
        <v>6465</v>
      </c>
      <c r="C506" s="4">
        <v>1</v>
      </c>
      <c r="D506" s="5">
        <v>23</v>
      </c>
      <c r="E506" s="4" t="s">
        <v>6466</v>
      </c>
      <c r="F506" s="3" t="s">
        <v>5552</v>
      </c>
      <c r="G506" s="7" t="s">
        <v>5824</v>
      </c>
      <c r="H506" s="3" t="s">
        <v>5825</v>
      </c>
      <c r="I506" s="3" t="s">
        <v>5826</v>
      </c>
      <c r="J506" s="3" t="s">
        <v>5536</v>
      </c>
      <c r="K506" s="3" t="s">
        <v>5594</v>
      </c>
      <c r="L506" s="8" t="str">
        <f>HYPERLINK("http://slimages.macys.com/is/image/MCY/10267363 ")</f>
        <v xml:space="preserve">http://slimages.macys.com/is/image/MCY/10267363 </v>
      </c>
    </row>
    <row r="507" spans="1:12" ht="24.75" x14ac:dyDescent="0.25">
      <c r="A507" s="6" t="s">
        <v>6475</v>
      </c>
      <c r="B507" s="3" t="s">
        <v>6471</v>
      </c>
      <c r="C507" s="4">
        <v>1</v>
      </c>
      <c r="D507" s="5">
        <v>23</v>
      </c>
      <c r="E507" s="4" t="s">
        <v>6472</v>
      </c>
      <c r="F507" s="3" t="s">
        <v>5532</v>
      </c>
      <c r="G507" s="7" t="s">
        <v>6476</v>
      </c>
      <c r="H507" s="3" t="s">
        <v>5825</v>
      </c>
      <c r="I507" s="3" t="s">
        <v>5826</v>
      </c>
      <c r="J507" s="3" t="s">
        <v>5536</v>
      </c>
      <c r="K507" s="3" t="s">
        <v>5594</v>
      </c>
      <c r="L507" s="8" t="str">
        <f>HYPERLINK("http://slimages.macys.com/is/image/MCY/10267363 ")</f>
        <v xml:space="preserve">http://slimages.macys.com/is/image/MCY/10267363 </v>
      </c>
    </row>
    <row r="508" spans="1:12" x14ac:dyDescent="0.25">
      <c r="A508" s="6" t="s">
        <v>50</v>
      </c>
      <c r="B508" s="3" t="s">
        <v>6482</v>
      </c>
      <c r="C508" s="4">
        <v>1</v>
      </c>
      <c r="D508" s="5">
        <v>39.99</v>
      </c>
      <c r="E508" s="4" t="s">
        <v>6483</v>
      </c>
      <c r="F508" s="3" t="s">
        <v>5532</v>
      </c>
      <c r="G508" s="7" t="s">
        <v>5533</v>
      </c>
      <c r="H508" s="3" t="s">
        <v>5978</v>
      </c>
      <c r="I508" s="3" t="s">
        <v>5979</v>
      </c>
      <c r="J508" s="3" t="s">
        <v>5536</v>
      </c>
      <c r="K508" s="3" t="s">
        <v>5594</v>
      </c>
      <c r="L508" s="8" t="str">
        <f>HYPERLINK("http://slimages.macys.com/is/image/MCY/11132001 ")</f>
        <v xml:space="preserve">http://slimages.macys.com/is/image/MCY/11132001 </v>
      </c>
    </row>
    <row r="509" spans="1:12" ht="24.75" x14ac:dyDescent="0.25">
      <c r="A509" s="6" t="s">
        <v>51</v>
      </c>
      <c r="B509" s="3" t="s">
        <v>2402</v>
      </c>
      <c r="C509" s="4">
        <v>1</v>
      </c>
      <c r="D509" s="5">
        <v>32.99</v>
      </c>
      <c r="E509" s="4">
        <v>100002153</v>
      </c>
      <c r="F509" s="3" t="s">
        <v>5540</v>
      </c>
      <c r="G509" s="7" t="s">
        <v>6626</v>
      </c>
      <c r="H509" s="3" t="s">
        <v>6522</v>
      </c>
      <c r="I509" s="3" t="s">
        <v>6523</v>
      </c>
      <c r="J509" s="3" t="s">
        <v>5536</v>
      </c>
      <c r="K509" s="3" t="s">
        <v>5727</v>
      </c>
      <c r="L509" s="8" t="str">
        <f>HYPERLINK("http://slimages.macys.com/is/image/MCY/12231598 ")</f>
        <v xml:space="preserve">http://slimages.macys.com/is/image/MCY/12231598 </v>
      </c>
    </row>
    <row r="510" spans="1:12" ht="24.75" x14ac:dyDescent="0.25">
      <c r="A510" s="6" t="s">
        <v>52</v>
      </c>
      <c r="B510" s="3" t="s">
        <v>2402</v>
      </c>
      <c r="C510" s="4">
        <v>1</v>
      </c>
      <c r="D510" s="5">
        <v>32.99</v>
      </c>
      <c r="E510" s="4">
        <v>100002153</v>
      </c>
      <c r="F510" s="3" t="s">
        <v>6146</v>
      </c>
      <c r="G510" s="7" t="s">
        <v>7103</v>
      </c>
      <c r="H510" s="3" t="s">
        <v>6522</v>
      </c>
      <c r="I510" s="3" t="s">
        <v>6523</v>
      </c>
      <c r="J510" s="3" t="s">
        <v>5536</v>
      </c>
      <c r="K510" s="3" t="s">
        <v>5727</v>
      </c>
      <c r="L510" s="8" t="str">
        <f>HYPERLINK("http://slimages.macys.com/is/image/MCY/12231598 ")</f>
        <v xml:space="preserve">http://slimages.macys.com/is/image/MCY/12231598 </v>
      </c>
    </row>
    <row r="511" spans="1:12" ht="24.75" x14ac:dyDescent="0.25">
      <c r="A511" s="6" t="s">
        <v>53</v>
      </c>
      <c r="B511" s="3" t="s">
        <v>6273</v>
      </c>
      <c r="C511" s="4">
        <v>1</v>
      </c>
      <c r="D511" s="5">
        <v>25</v>
      </c>
      <c r="E511" s="4" t="s">
        <v>6274</v>
      </c>
      <c r="F511" s="3" t="s">
        <v>5604</v>
      </c>
      <c r="G511" s="7"/>
      <c r="H511" s="3" t="s">
        <v>5825</v>
      </c>
      <c r="I511" s="3" t="s">
        <v>6265</v>
      </c>
      <c r="J511" s="3" t="s">
        <v>5536</v>
      </c>
      <c r="K511" s="3" t="s">
        <v>6266</v>
      </c>
      <c r="L511" s="8" t="str">
        <f>HYPERLINK("http://slimages.macys.com/is/image/MCY/11544590 ")</f>
        <v xml:space="preserve">http://slimages.macys.com/is/image/MCY/11544590 </v>
      </c>
    </row>
    <row r="512" spans="1:12" ht="24.75" x14ac:dyDescent="0.25">
      <c r="A512" s="6" t="s">
        <v>5042</v>
      </c>
      <c r="B512" s="3" t="s">
        <v>6273</v>
      </c>
      <c r="C512" s="4">
        <v>1</v>
      </c>
      <c r="D512" s="5">
        <v>25</v>
      </c>
      <c r="E512" s="4" t="s">
        <v>6274</v>
      </c>
      <c r="F512" s="3" t="s">
        <v>4043</v>
      </c>
      <c r="G512" s="7"/>
      <c r="H512" s="3" t="s">
        <v>5825</v>
      </c>
      <c r="I512" s="3" t="s">
        <v>6265</v>
      </c>
      <c r="J512" s="3" t="s">
        <v>5536</v>
      </c>
      <c r="K512" s="3" t="s">
        <v>6266</v>
      </c>
      <c r="L512" s="8" t="str">
        <f>HYPERLINK("http://slimages.macys.com/is/image/MCY/11544590 ")</f>
        <v xml:space="preserve">http://slimages.macys.com/is/image/MCY/11544590 </v>
      </c>
    </row>
    <row r="513" spans="1:12" x14ac:dyDescent="0.25">
      <c r="A513" s="6" t="s">
        <v>54</v>
      </c>
      <c r="B513" s="3" t="s">
        <v>2411</v>
      </c>
      <c r="C513" s="4">
        <v>1</v>
      </c>
      <c r="D513" s="5">
        <v>39.99</v>
      </c>
      <c r="E513" s="4" t="s">
        <v>2412</v>
      </c>
      <c r="F513" s="3" t="s">
        <v>5532</v>
      </c>
      <c r="G513" s="7" t="s">
        <v>5560</v>
      </c>
      <c r="H513" s="3" t="s">
        <v>6065</v>
      </c>
      <c r="I513" s="3" t="s">
        <v>6066</v>
      </c>
      <c r="J513" s="3" t="s">
        <v>5536</v>
      </c>
      <c r="K513" s="3" t="s">
        <v>5549</v>
      </c>
      <c r="L513" s="8" t="str">
        <f>HYPERLINK("http://slimages.macys.com/is/image/MCY/15435257 ")</f>
        <v xml:space="preserve">http://slimages.macys.com/is/image/MCY/15435257 </v>
      </c>
    </row>
    <row r="514" spans="1:12" ht="24.75" x14ac:dyDescent="0.25">
      <c r="A514" s="6" t="s">
        <v>55</v>
      </c>
      <c r="B514" s="3" t="s">
        <v>56</v>
      </c>
      <c r="C514" s="4">
        <v>1</v>
      </c>
      <c r="D514" s="5">
        <v>25</v>
      </c>
      <c r="E514" s="4" t="s">
        <v>57</v>
      </c>
      <c r="F514" s="3" t="s">
        <v>5532</v>
      </c>
      <c r="G514" s="7"/>
      <c r="H514" s="3" t="s">
        <v>5825</v>
      </c>
      <c r="I514" s="3" t="s">
        <v>6265</v>
      </c>
      <c r="J514" s="3" t="s">
        <v>5536</v>
      </c>
      <c r="K514" s="3" t="s">
        <v>6266</v>
      </c>
      <c r="L514" s="8" t="str">
        <f>HYPERLINK("http://slimages.macys.com/is/image/MCY/10486983 ")</f>
        <v xml:space="preserve">http://slimages.macys.com/is/image/MCY/10486983 </v>
      </c>
    </row>
    <row r="515" spans="1:12" ht="24.75" x14ac:dyDescent="0.25">
      <c r="A515" s="6" t="s">
        <v>58</v>
      </c>
      <c r="B515" s="3" t="s">
        <v>6489</v>
      </c>
      <c r="C515" s="4">
        <v>1</v>
      </c>
      <c r="D515" s="5">
        <v>40</v>
      </c>
      <c r="E515" s="4" t="s">
        <v>6490</v>
      </c>
      <c r="F515" s="3" t="s">
        <v>5887</v>
      </c>
      <c r="G515" s="7" t="s">
        <v>6500</v>
      </c>
      <c r="H515" s="3" t="s">
        <v>6492</v>
      </c>
      <c r="I515" s="3" t="s">
        <v>6493</v>
      </c>
      <c r="J515" s="3" t="s">
        <v>5536</v>
      </c>
      <c r="K515" s="3" t="s">
        <v>6494</v>
      </c>
      <c r="L515" s="8" t="str">
        <f>HYPERLINK("http://slimages.macys.com/is/image/MCY/15892725 ")</f>
        <v xml:space="preserve">http://slimages.macys.com/is/image/MCY/15892725 </v>
      </c>
    </row>
    <row r="516" spans="1:12" ht="24.75" x14ac:dyDescent="0.25">
      <c r="A516" s="6" t="s">
        <v>59</v>
      </c>
      <c r="B516" s="3" t="s">
        <v>60</v>
      </c>
      <c r="C516" s="4">
        <v>1</v>
      </c>
      <c r="D516" s="5">
        <v>40</v>
      </c>
      <c r="E516" s="4" t="s">
        <v>61</v>
      </c>
      <c r="F516" s="3" t="s">
        <v>5803</v>
      </c>
      <c r="G516" s="7" t="s">
        <v>5560</v>
      </c>
      <c r="H516" s="3" t="s">
        <v>6492</v>
      </c>
      <c r="I516" s="3" t="s">
        <v>6493</v>
      </c>
      <c r="J516" s="3" t="s">
        <v>5536</v>
      </c>
      <c r="K516" s="3" t="s">
        <v>5574</v>
      </c>
      <c r="L516" s="8" t="str">
        <f>HYPERLINK("http://slimages.macys.com/is/image/MCY/13286917 ")</f>
        <v xml:space="preserve">http://slimages.macys.com/is/image/MCY/13286917 </v>
      </c>
    </row>
    <row r="517" spans="1:12" ht="24.75" x14ac:dyDescent="0.25">
      <c r="A517" s="6" t="s">
        <v>62</v>
      </c>
      <c r="B517" s="3" t="s">
        <v>63</v>
      </c>
      <c r="C517" s="4">
        <v>1</v>
      </c>
      <c r="D517" s="5">
        <v>24.99</v>
      </c>
      <c r="E517" s="4" t="s">
        <v>64</v>
      </c>
      <c r="F517" s="3" t="s">
        <v>5532</v>
      </c>
      <c r="G517" s="7"/>
      <c r="H517" s="3" t="s">
        <v>6280</v>
      </c>
      <c r="I517" s="3" t="s">
        <v>4889</v>
      </c>
      <c r="J517" s="3" t="s">
        <v>5536</v>
      </c>
      <c r="K517" s="3" t="s">
        <v>5727</v>
      </c>
      <c r="L517" s="8" t="str">
        <f>HYPERLINK("http://slimages.macys.com/is/image/MCY/15893171 ")</f>
        <v xml:space="preserve">http://slimages.macys.com/is/image/MCY/15893171 </v>
      </c>
    </row>
    <row r="518" spans="1:12" x14ac:dyDescent="0.25">
      <c r="A518" s="6" t="s">
        <v>65</v>
      </c>
      <c r="B518" s="3" t="s">
        <v>66</v>
      </c>
      <c r="C518" s="4">
        <v>1</v>
      </c>
      <c r="D518" s="5">
        <v>34.99</v>
      </c>
      <c r="E518" s="4" t="s">
        <v>67</v>
      </c>
      <c r="F518" s="3" t="s">
        <v>5532</v>
      </c>
      <c r="G518" s="7" t="s">
        <v>5560</v>
      </c>
      <c r="H518" s="3" t="s">
        <v>6003</v>
      </c>
      <c r="I518" s="3" t="s">
        <v>6004</v>
      </c>
      <c r="J518" s="3" t="s">
        <v>5536</v>
      </c>
      <c r="K518" s="3" t="s">
        <v>6021</v>
      </c>
      <c r="L518" s="8" t="str">
        <f>HYPERLINK("http://slimages.macys.com/is/image/MCY/13828304 ")</f>
        <v xml:space="preserve">http://slimages.macys.com/is/image/MCY/13828304 </v>
      </c>
    </row>
    <row r="519" spans="1:12" x14ac:dyDescent="0.25">
      <c r="A519" s="6" t="s">
        <v>68</v>
      </c>
      <c r="B519" s="3" t="s">
        <v>69</v>
      </c>
      <c r="C519" s="4">
        <v>1</v>
      </c>
      <c r="D519" s="5">
        <v>49.5</v>
      </c>
      <c r="E519" s="4">
        <v>100061189</v>
      </c>
      <c r="F519" s="3" t="s">
        <v>5578</v>
      </c>
      <c r="G519" s="7" t="s">
        <v>6491</v>
      </c>
      <c r="H519" s="3" t="s">
        <v>5585</v>
      </c>
      <c r="I519" s="3" t="s">
        <v>5734</v>
      </c>
      <c r="J519" s="3" t="s">
        <v>5536</v>
      </c>
      <c r="K519" s="3" t="s">
        <v>6021</v>
      </c>
      <c r="L519" s="8" t="str">
        <f>HYPERLINK("http://slimages.macys.com/is/image/MCY/14375428 ")</f>
        <v xml:space="preserve">http://slimages.macys.com/is/image/MCY/14375428 </v>
      </c>
    </row>
    <row r="520" spans="1:12" x14ac:dyDescent="0.25">
      <c r="A520" s="6" t="s">
        <v>70</v>
      </c>
      <c r="B520" s="3" t="s">
        <v>71</v>
      </c>
      <c r="C520" s="4">
        <v>1</v>
      </c>
      <c r="D520" s="5">
        <v>34.99</v>
      </c>
      <c r="E520" s="4" t="s">
        <v>72</v>
      </c>
      <c r="F520" s="3" t="s">
        <v>5552</v>
      </c>
      <c r="G520" s="7" t="s">
        <v>5560</v>
      </c>
      <c r="H520" s="3" t="s">
        <v>5978</v>
      </c>
      <c r="I520" s="3" t="s">
        <v>5979</v>
      </c>
      <c r="J520" s="3" t="s">
        <v>5536</v>
      </c>
      <c r="K520" s="3" t="s">
        <v>5574</v>
      </c>
      <c r="L520" s="8" t="str">
        <f>HYPERLINK("http://slimages.macys.com/is/image/MCY/13368809 ")</f>
        <v xml:space="preserve">http://slimages.macys.com/is/image/MCY/13368809 </v>
      </c>
    </row>
    <row r="521" spans="1:12" x14ac:dyDescent="0.25">
      <c r="A521" s="6" t="s">
        <v>5048</v>
      </c>
      <c r="B521" s="3" t="s">
        <v>4262</v>
      </c>
      <c r="C521" s="4">
        <v>2</v>
      </c>
      <c r="D521" s="5">
        <v>69.98</v>
      </c>
      <c r="E521" s="4" t="s">
        <v>4263</v>
      </c>
      <c r="F521" s="3" t="s">
        <v>5820</v>
      </c>
      <c r="G521" s="7" t="s">
        <v>5560</v>
      </c>
      <c r="H521" s="3" t="s">
        <v>6003</v>
      </c>
      <c r="I521" s="3" t="s">
        <v>6004</v>
      </c>
      <c r="J521" s="3" t="s">
        <v>5536</v>
      </c>
      <c r="K521" s="3" t="s">
        <v>5574</v>
      </c>
      <c r="L521" s="8" t="str">
        <f>HYPERLINK("http://slimages.macys.com/is/image/MCY/15856089 ")</f>
        <v xml:space="preserve">http://slimages.macys.com/is/image/MCY/15856089 </v>
      </c>
    </row>
    <row r="522" spans="1:12" ht="24.75" x14ac:dyDescent="0.25">
      <c r="A522" s="6" t="s">
        <v>73</v>
      </c>
      <c r="B522" s="3" t="s">
        <v>74</v>
      </c>
      <c r="C522" s="4">
        <v>1</v>
      </c>
      <c r="D522" s="5">
        <v>27.99</v>
      </c>
      <c r="E522" s="4" t="s">
        <v>75</v>
      </c>
      <c r="F522" s="3" t="s">
        <v>5532</v>
      </c>
      <c r="G522" s="7" t="s">
        <v>6252</v>
      </c>
      <c r="H522" s="3" t="s">
        <v>6280</v>
      </c>
      <c r="I522" s="3" t="s">
        <v>6420</v>
      </c>
      <c r="J522" s="3" t="s">
        <v>5536</v>
      </c>
      <c r="K522" s="3" t="s">
        <v>5727</v>
      </c>
      <c r="L522" s="8" t="str">
        <f>HYPERLINK("http://slimages.macys.com/is/image/MCY/14815242 ")</f>
        <v xml:space="preserve">http://slimages.macys.com/is/image/MCY/14815242 </v>
      </c>
    </row>
    <row r="523" spans="1:12" ht="24.75" x14ac:dyDescent="0.25">
      <c r="A523" s="6" t="s">
        <v>76</v>
      </c>
      <c r="B523" s="3" t="s">
        <v>74</v>
      </c>
      <c r="C523" s="4">
        <v>1</v>
      </c>
      <c r="D523" s="5">
        <v>27.99</v>
      </c>
      <c r="E523" s="4" t="s">
        <v>75</v>
      </c>
      <c r="F523" s="3" t="s">
        <v>5745</v>
      </c>
      <c r="G523" s="7" t="s">
        <v>6252</v>
      </c>
      <c r="H523" s="3" t="s">
        <v>6280</v>
      </c>
      <c r="I523" s="3" t="s">
        <v>6420</v>
      </c>
      <c r="J523" s="3" t="s">
        <v>5536</v>
      </c>
      <c r="K523" s="3" t="s">
        <v>5727</v>
      </c>
      <c r="L523" s="8" t="str">
        <f>HYPERLINK("http://slimages.macys.com/is/image/MCY/14815242 ")</f>
        <v xml:space="preserve">http://slimages.macys.com/is/image/MCY/14815242 </v>
      </c>
    </row>
    <row r="524" spans="1:12" ht="24.75" x14ac:dyDescent="0.25">
      <c r="A524" s="6" t="s">
        <v>77</v>
      </c>
      <c r="B524" s="3" t="s">
        <v>8</v>
      </c>
      <c r="C524" s="4">
        <v>1</v>
      </c>
      <c r="D524" s="5">
        <v>27.99</v>
      </c>
      <c r="E524" s="4" t="s">
        <v>9</v>
      </c>
      <c r="F524" s="3" t="s">
        <v>5540</v>
      </c>
      <c r="G524" s="7" t="s">
        <v>6252</v>
      </c>
      <c r="H524" s="3" t="s">
        <v>6280</v>
      </c>
      <c r="I524" s="3" t="s">
        <v>6420</v>
      </c>
      <c r="J524" s="3" t="s">
        <v>5536</v>
      </c>
      <c r="K524" s="3" t="s">
        <v>6338</v>
      </c>
      <c r="L524" s="8" t="str">
        <f>HYPERLINK("http://slimages.macys.com/is/image/MCY/10746658 ")</f>
        <v xml:space="preserve">http://slimages.macys.com/is/image/MCY/10746658 </v>
      </c>
    </row>
    <row r="525" spans="1:12" ht="24.75" x14ac:dyDescent="0.25">
      <c r="A525" s="6" t="s">
        <v>5049</v>
      </c>
      <c r="B525" s="3" t="s">
        <v>6263</v>
      </c>
      <c r="C525" s="4">
        <v>1</v>
      </c>
      <c r="D525" s="5">
        <v>25.5</v>
      </c>
      <c r="E525" s="4" t="s">
        <v>6264</v>
      </c>
      <c r="F525" s="3" t="s">
        <v>5578</v>
      </c>
      <c r="G525" s="7"/>
      <c r="H525" s="3" t="s">
        <v>5825</v>
      </c>
      <c r="I525" s="3" t="s">
        <v>6265</v>
      </c>
      <c r="J525" s="3" t="s">
        <v>5536</v>
      </c>
      <c r="K525" s="3" t="s">
        <v>6266</v>
      </c>
      <c r="L525" s="8" t="str">
        <f>HYPERLINK("http://slimages.macys.com/is/image/MCY/11518029 ")</f>
        <v xml:space="preserve">http://slimages.macys.com/is/image/MCY/11518029 </v>
      </c>
    </row>
    <row r="526" spans="1:12" ht="24.75" x14ac:dyDescent="0.25">
      <c r="A526" s="6" t="s">
        <v>437</v>
      </c>
      <c r="B526" s="3" t="s">
        <v>6263</v>
      </c>
      <c r="C526" s="4">
        <v>1</v>
      </c>
      <c r="D526" s="5">
        <v>25.5</v>
      </c>
      <c r="E526" s="4" t="s">
        <v>6264</v>
      </c>
      <c r="F526" s="3" t="s">
        <v>5578</v>
      </c>
      <c r="G526" s="7"/>
      <c r="H526" s="3" t="s">
        <v>5825</v>
      </c>
      <c r="I526" s="3" t="s">
        <v>6265</v>
      </c>
      <c r="J526" s="3" t="s">
        <v>5536</v>
      </c>
      <c r="K526" s="3" t="s">
        <v>6266</v>
      </c>
      <c r="L526" s="8" t="str">
        <f>HYPERLINK("http://slimages.macys.com/is/image/MCY/11518029 ")</f>
        <v xml:space="preserve">http://slimages.macys.com/is/image/MCY/11518029 </v>
      </c>
    </row>
    <row r="527" spans="1:12" ht="24.75" x14ac:dyDescent="0.25">
      <c r="A527" s="6" t="s">
        <v>78</v>
      </c>
      <c r="B527" s="3" t="s">
        <v>6263</v>
      </c>
      <c r="C527" s="4">
        <v>1</v>
      </c>
      <c r="D527" s="5">
        <v>25.5</v>
      </c>
      <c r="E527" s="4" t="s">
        <v>6264</v>
      </c>
      <c r="F527" s="3" t="s">
        <v>6335</v>
      </c>
      <c r="G527" s="7"/>
      <c r="H527" s="3" t="s">
        <v>5825</v>
      </c>
      <c r="I527" s="3" t="s">
        <v>6265</v>
      </c>
      <c r="J527" s="3" t="s">
        <v>5536</v>
      </c>
      <c r="K527" s="3" t="s">
        <v>6266</v>
      </c>
      <c r="L527" s="8" t="str">
        <f>HYPERLINK("http://slimages.macys.com/is/image/MCY/11518029 ")</f>
        <v xml:space="preserve">http://slimages.macys.com/is/image/MCY/11518029 </v>
      </c>
    </row>
    <row r="528" spans="1:12" x14ac:dyDescent="0.25">
      <c r="A528" s="6" t="s">
        <v>79</v>
      </c>
      <c r="B528" s="3" t="s">
        <v>2424</v>
      </c>
      <c r="C528" s="4">
        <v>1</v>
      </c>
      <c r="D528" s="5">
        <v>34.99</v>
      </c>
      <c r="E528" s="4" t="s">
        <v>2425</v>
      </c>
      <c r="F528" s="3" t="s">
        <v>5578</v>
      </c>
      <c r="G528" s="7" t="s">
        <v>4491</v>
      </c>
      <c r="H528" s="3" t="s">
        <v>6065</v>
      </c>
      <c r="I528" s="3" t="s">
        <v>6066</v>
      </c>
      <c r="J528" s="3" t="s">
        <v>5536</v>
      </c>
      <c r="K528" s="3" t="s">
        <v>5587</v>
      </c>
      <c r="L528" s="8" t="str">
        <f>HYPERLINK("http://slimages.macys.com/is/image/MCY/11519584 ")</f>
        <v xml:space="preserve">http://slimages.macys.com/is/image/MCY/11519584 </v>
      </c>
    </row>
    <row r="529" spans="1:12" x14ac:dyDescent="0.25">
      <c r="A529" s="6" t="s">
        <v>80</v>
      </c>
      <c r="B529" s="3" t="s">
        <v>1882</v>
      </c>
      <c r="C529" s="4">
        <v>1</v>
      </c>
      <c r="D529" s="5">
        <v>34.99</v>
      </c>
      <c r="E529" s="4" t="s">
        <v>1883</v>
      </c>
      <c r="F529" s="3" t="s">
        <v>6217</v>
      </c>
      <c r="G529" s="7" t="s">
        <v>5560</v>
      </c>
      <c r="H529" s="3" t="s">
        <v>6003</v>
      </c>
      <c r="I529" s="3" t="s">
        <v>6004</v>
      </c>
      <c r="J529" s="3" t="s">
        <v>5536</v>
      </c>
      <c r="K529" s="3" t="s">
        <v>6021</v>
      </c>
      <c r="L529" s="8" t="str">
        <f>HYPERLINK("http://slimages.macys.com/is/image/MCY/10351991 ")</f>
        <v xml:space="preserve">http://slimages.macys.com/is/image/MCY/10351991 </v>
      </c>
    </row>
    <row r="530" spans="1:12" x14ac:dyDescent="0.25">
      <c r="A530" s="6" t="s">
        <v>81</v>
      </c>
      <c r="B530" s="3" t="s">
        <v>1882</v>
      </c>
      <c r="C530" s="4">
        <v>1</v>
      </c>
      <c r="D530" s="5">
        <v>34.99</v>
      </c>
      <c r="E530" s="4" t="s">
        <v>1883</v>
      </c>
      <c r="F530" s="3" t="s">
        <v>6217</v>
      </c>
      <c r="G530" s="7" t="s">
        <v>5582</v>
      </c>
      <c r="H530" s="3" t="s">
        <v>6003</v>
      </c>
      <c r="I530" s="3" t="s">
        <v>6004</v>
      </c>
      <c r="J530" s="3" t="s">
        <v>5536</v>
      </c>
      <c r="K530" s="3" t="s">
        <v>6021</v>
      </c>
      <c r="L530" s="8" t="str">
        <f>HYPERLINK("http://slimages.macys.com/is/image/MCY/10351991 ")</f>
        <v xml:space="preserve">http://slimages.macys.com/is/image/MCY/10351991 </v>
      </c>
    </row>
    <row r="531" spans="1:12" x14ac:dyDescent="0.25">
      <c r="A531" s="6" t="s">
        <v>82</v>
      </c>
      <c r="B531" s="3" t="s">
        <v>1882</v>
      </c>
      <c r="C531" s="4">
        <v>1</v>
      </c>
      <c r="D531" s="5">
        <v>34.99</v>
      </c>
      <c r="E531" s="4" t="s">
        <v>1883</v>
      </c>
      <c r="F531" s="3" t="s">
        <v>6217</v>
      </c>
      <c r="G531" s="7" t="s">
        <v>5598</v>
      </c>
      <c r="H531" s="3" t="s">
        <v>6003</v>
      </c>
      <c r="I531" s="3" t="s">
        <v>6004</v>
      </c>
      <c r="J531" s="3" t="s">
        <v>5536</v>
      </c>
      <c r="K531" s="3" t="s">
        <v>6021</v>
      </c>
      <c r="L531" s="8" t="str">
        <f>HYPERLINK("http://slimages.macys.com/is/image/MCY/10351991 ")</f>
        <v xml:space="preserve">http://slimages.macys.com/is/image/MCY/10351991 </v>
      </c>
    </row>
    <row r="532" spans="1:12" ht="24.75" x14ac:dyDescent="0.25">
      <c r="A532" s="6" t="s">
        <v>439</v>
      </c>
      <c r="B532" s="3" t="s">
        <v>5051</v>
      </c>
      <c r="C532" s="4">
        <v>1</v>
      </c>
      <c r="D532" s="5">
        <v>25</v>
      </c>
      <c r="E532" s="4" t="s">
        <v>5052</v>
      </c>
      <c r="F532" s="3" t="s">
        <v>5532</v>
      </c>
      <c r="G532" s="7"/>
      <c r="H532" s="3" t="s">
        <v>5825</v>
      </c>
      <c r="I532" s="3" t="s">
        <v>6265</v>
      </c>
      <c r="J532" s="3" t="s">
        <v>5536</v>
      </c>
      <c r="K532" s="3" t="s">
        <v>6266</v>
      </c>
      <c r="L532" s="8" t="str">
        <f>HYPERLINK("http://slimages.macys.com/is/image/MCY/15216742 ")</f>
        <v xml:space="preserve">http://slimages.macys.com/is/image/MCY/15216742 </v>
      </c>
    </row>
    <row r="533" spans="1:12" ht="24.75" x14ac:dyDescent="0.25">
      <c r="A533" s="6" t="s">
        <v>438</v>
      </c>
      <c r="B533" s="3" t="s">
        <v>5051</v>
      </c>
      <c r="C533" s="4">
        <v>1</v>
      </c>
      <c r="D533" s="5">
        <v>25</v>
      </c>
      <c r="E533" s="4" t="s">
        <v>5052</v>
      </c>
      <c r="F533" s="3" t="s">
        <v>5532</v>
      </c>
      <c r="G533" s="7"/>
      <c r="H533" s="3" t="s">
        <v>5825</v>
      </c>
      <c r="I533" s="3" t="s">
        <v>6265</v>
      </c>
      <c r="J533" s="3" t="s">
        <v>5536</v>
      </c>
      <c r="K533" s="3" t="s">
        <v>6266</v>
      </c>
      <c r="L533" s="8" t="str">
        <f>HYPERLINK("http://slimages.macys.com/is/image/MCY/15216742 ")</f>
        <v xml:space="preserve">http://slimages.macys.com/is/image/MCY/15216742 </v>
      </c>
    </row>
    <row r="534" spans="1:12" ht="24.75" x14ac:dyDescent="0.25">
      <c r="A534" s="6" t="s">
        <v>83</v>
      </c>
      <c r="B534" s="3" t="s">
        <v>5051</v>
      </c>
      <c r="C534" s="4">
        <v>2</v>
      </c>
      <c r="D534" s="5">
        <v>50</v>
      </c>
      <c r="E534" s="4" t="s">
        <v>5052</v>
      </c>
      <c r="F534" s="3" t="s">
        <v>5532</v>
      </c>
      <c r="G534" s="7"/>
      <c r="H534" s="3" t="s">
        <v>5825</v>
      </c>
      <c r="I534" s="3" t="s">
        <v>6265</v>
      </c>
      <c r="J534" s="3" t="s">
        <v>5536</v>
      </c>
      <c r="K534" s="3" t="s">
        <v>6266</v>
      </c>
      <c r="L534" s="8" t="str">
        <f>HYPERLINK("http://slimages.macys.com/is/image/MCY/15216742 ")</f>
        <v xml:space="preserve">http://slimages.macys.com/is/image/MCY/15216742 </v>
      </c>
    </row>
    <row r="535" spans="1:12" x14ac:dyDescent="0.25">
      <c r="A535" s="6" t="s">
        <v>84</v>
      </c>
      <c r="B535" s="3" t="s">
        <v>6517</v>
      </c>
      <c r="C535" s="4">
        <v>1</v>
      </c>
      <c r="D535" s="5">
        <v>34.99</v>
      </c>
      <c r="E535" s="4" t="s">
        <v>6518</v>
      </c>
      <c r="F535" s="3" t="s">
        <v>5783</v>
      </c>
      <c r="G535" s="7" t="s">
        <v>5533</v>
      </c>
      <c r="H535" s="3" t="s">
        <v>6003</v>
      </c>
      <c r="I535" s="3" t="s">
        <v>6004</v>
      </c>
      <c r="J535" s="3" t="s">
        <v>5536</v>
      </c>
      <c r="K535" s="3" t="s">
        <v>6021</v>
      </c>
      <c r="L535" s="8" t="str">
        <f>HYPERLINK("http://slimages.macys.com/is/image/MCY/15384383 ")</f>
        <v xml:space="preserve">http://slimages.macys.com/is/image/MCY/15384383 </v>
      </c>
    </row>
    <row r="536" spans="1:12" ht="24.75" x14ac:dyDescent="0.25">
      <c r="A536" s="6" t="s">
        <v>85</v>
      </c>
      <c r="B536" s="3" t="s">
        <v>86</v>
      </c>
      <c r="C536" s="4">
        <v>1</v>
      </c>
      <c r="D536" s="5">
        <v>30</v>
      </c>
      <c r="E536" s="4">
        <v>10043294</v>
      </c>
      <c r="F536" s="3" t="s">
        <v>5610</v>
      </c>
      <c r="G536" s="7" t="s">
        <v>5562</v>
      </c>
      <c r="H536" s="3" t="s">
        <v>6492</v>
      </c>
      <c r="I536" s="3" t="s">
        <v>6790</v>
      </c>
      <c r="J536" s="3" t="s">
        <v>5536</v>
      </c>
      <c r="K536" s="3" t="s">
        <v>5549</v>
      </c>
      <c r="L536" s="8" t="str">
        <f>HYPERLINK("http://slimages.macys.com/is/image/MCY/15360914 ")</f>
        <v xml:space="preserve">http://slimages.macys.com/is/image/MCY/15360914 </v>
      </c>
    </row>
    <row r="537" spans="1:12" x14ac:dyDescent="0.25">
      <c r="A537" s="6" t="s">
        <v>87</v>
      </c>
      <c r="B537" s="3" t="s">
        <v>88</v>
      </c>
      <c r="C537" s="4">
        <v>1</v>
      </c>
      <c r="D537" s="5">
        <v>34.99</v>
      </c>
      <c r="E537" s="4" t="s">
        <v>89</v>
      </c>
      <c r="F537" s="3" t="s">
        <v>5532</v>
      </c>
      <c r="G537" s="7" t="s">
        <v>5560</v>
      </c>
      <c r="H537" s="3" t="s">
        <v>6003</v>
      </c>
      <c r="I537" s="3" t="s">
        <v>6004</v>
      </c>
      <c r="J537" s="3" t="s">
        <v>5536</v>
      </c>
      <c r="K537" s="3" t="s">
        <v>6021</v>
      </c>
      <c r="L537" s="8" t="str">
        <f>HYPERLINK("http://slimages.macys.com/is/image/MCY/15388508 ")</f>
        <v xml:space="preserve">http://slimages.macys.com/is/image/MCY/15388508 </v>
      </c>
    </row>
    <row r="538" spans="1:12" x14ac:dyDescent="0.25">
      <c r="A538" s="6" t="s">
        <v>90</v>
      </c>
      <c r="B538" s="3" t="s">
        <v>88</v>
      </c>
      <c r="C538" s="4">
        <v>2</v>
      </c>
      <c r="D538" s="5">
        <v>69.98</v>
      </c>
      <c r="E538" s="4" t="s">
        <v>89</v>
      </c>
      <c r="F538" s="3" t="s">
        <v>5532</v>
      </c>
      <c r="G538" s="7" t="s">
        <v>5533</v>
      </c>
      <c r="H538" s="3" t="s">
        <v>6003</v>
      </c>
      <c r="I538" s="3" t="s">
        <v>6004</v>
      </c>
      <c r="J538" s="3" t="s">
        <v>5536</v>
      </c>
      <c r="K538" s="3" t="s">
        <v>6021</v>
      </c>
      <c r="L538" s="8" t="str">
        <f>HYPERLINK("http://slimages.macys.com/is/image/MCY/15388508 ")</f>
        <v xml:space="preserve">http://slimages.macys.com/is/image/MCY/15388508 </v>
      </c>
    </row>
    <row r="539" spans="1:12" x14ac:dyDescent="0.25">
      <c r="A539" s="6" t="s">
        <v>91</v>
      </c>
      <c r="B539" s="3" t="s">
        <v>88</v>
      </c>
      <c r="C539" s="4">
        <v>1</v>
      </c>
      <c r="D539" s="5">
        <v>34.99</v>
      </c>
      <c r="E539" s="4" t="s">
        <v>89</v>
      </c>
      <c r="F539" s="3" t="s">
        <v>5532</v>
      </c>
      <c r="G539" s="7" t="s">
        <v>5596</v>
      </c>
      <c r="H539" s="3" t="s">
        <v>6003</v>
      </c>
      <c r="I539" s="3" t="s">
        <v>6004</v>
      </c>
      <c r="J539" s="3" t="s">
        <v>5536</v>
      </c>
      <c r="K539" s="3" t="s">
        <v>6021</v>
      </c>
      <c r="L539" s="8" t="str">
        <f>HYPERLINK("http://slimages.macys.com/is/image/MCY/15388508 ")</f>
        <v xml:space="preserve">http://slimages.macys.com/is/image/MCY/15388508 </v>
      </c>
    </row>
    <row r="540" spans="1:12" ht="24.75" x14ac:dyDescent="0.25">
      <c r="A540" s="6" t="s">
        <v>92</v>
      </c>
      <c r="B540" s="3" t="s">
        <v>6521</v>
      </c>
      <c r="C540" s="4">
        <v>1</v>
      </c>
      <c r="D540" s="5">
        <v>32.99</v>
      </c>
      <c r="E540" s="4">
        <v>100002133</v>
      </c>
      <c r="F540" s="3" t="s">
        <v>6146</v>
      </c>
      <c r="G540" s="7" t="s">
        <v>6500</v>
      </c>
      <c r="H540" s="3" t="s">
        <v>6522</v>
      </c>
      <c r="I540" s="3" t="s">
        <v>6523</v>
      </c>
      <c r="J540" s="3" t="s">
        <v>5536</v>
      </c>
      <c r="K540" s="3" t="s">
        <v>5727</v>
      </c>
      <c r="L540" s="8" t="str">
        <f>HYPERLINK("http://slimages.macys.com/is/image/MCY/11399941 ")</f>
        <v xml:space="preserve">http://slimages.macys.com/is/image/MCY/11399941 </v>
      </c>
    </row>
    <row r="541" spans="1:12" x14ac:dyDescent="0.25">
      <c r="A541" s="6" t="s">
        <v>93</v>
      </c>
      <c r="B541" s="3" t="s">
        <v>6525</v>
      </c>
      <c r="C541" s="4">
        <v>1</v>
      </c>
      <c r="D541" s="5">
        <v>34.99</v>
      </c>
      <c r="E541" s="4" t="s">
        <v>6526</v>
      </c>
      <c r="F541" s="3" t="s">
        <v>5661</v>
      </c>
      <c r="G541" s="7" t="s">
        <v>5596</v>
      </c>
      <c r="H541" s="3" t="s">
        <v>6003</v>
      </c>
      <c r="I541" s="3" t="s">
        <v>6004</v>
      </c>
      <c r="J541" s="3" t="s">
        <v>5536</v>
      </c>
      <c r="K541" s="3" t="s">
        <v>6021</v>
      </c>
      <c r="L541" s="8" t="str">
        <f>HYPERLINK("http://slimages.macys.com/is/image/MCY/13828326 ")</f>
        <v xml:space="preserve">http://slimages.macys.com/is/image/MCY/13828326 </v>
      </c>
    </row>
    <row r="542" spans="1:12" x14ac:dyDescent="0.25">
      <c r="A542" s="6" t="s">
        <v>94</v>
      </c>
      <c r="B542" s="3" t="s">
        <v>95</v>
      </c>
      <c r="C542" s="4">
        <v>2</v>
      </c>
      <c r="D542" s="5">
        <v>69.98</v>
      </c>
      <c r="E542" s="4" t="s">
        <v>96</v>
      </c>
      <c r="F542" s="3" t="s">
        <v>5532</v>
      </c>
      <c r="G542" s="7" t="s">
        <v>5562</v>
      </c>
      <c r="H542" s="3" t="s">
        <v>6003</v>
      </c>
      <c r="I542" s="3" t="s">
        <v>6004</v>
      </c>
      <c r="J542" s="3" t="s">
        <v>5536</v>
      </c>
      <c r="K542" s="3" t="s">
        <v>6021</v>
      </c>
      <c r="L542" s="8" t="str">
        <f>HYPERLINK("http://slimages.macys.com/is/image/MCY/15388419 ")</f>
        <v xml:space="preserve">http://slimages.macys.com/is/image/MCY/15388419 </v>
      </c>
    </row>
    <row r="543" spans="1:12" x14ac:dyDescent="0.25">
      <c r="A543" s="6" t="s">
        <v>2432</v>
      </c>
      <c r="B543" s="3" t="s">
        <v>2433</v>
      </c>
      <c r="C543" s="4">
        <v>1</v>
      </c>
      <c r="D543" s="5">
        <v>34.99</v>
      </c>
      <c r="E543" s="4" t="s">
        <v>2434</v>
      </c>
      <c r="F543" s="3" t="s">
        <v>5578</v>
      </c>
      <c r="G543" s="7" t="s">
        <v>5596</v>
      </c>
      <c r="H543" s="3" t="s">
        <v>6003</v>
      </c>
      <c r="I543" s="3" t="s">
        <v>6004</v>
      </c>
      <c r="J543" s="3" t="s">
        <v>5536</v>
      </c>
      <c r="K543" s="3" t="s">
        <v>4035</v>
      </c>
      <c r="L543" s="8" t="str">
        <f>HYPERLINK("http://slimages.macys.com/is/image/MCY/15508202 ")</f>
        <v xml:space="preserve">http://slimages.macys.com/is/image/MCY/15508202 </v>
      </c>
    </row>
    <row r="544" spans="1:12" x14ac:dyDescent="0.25">
      <c r="A544" s="6" t="s">
        <v>97</v>
      </c>
      <c r="B544" s="3" t="s">
        <v>2433</v>
      </c>
      <c r="C544" s="4">
        <v>1</v>
      </c>
      <c r="D544" s="5">
        <v>34.99</v>
      </c>
      <c r="E544" s="4" t="s">
        <v>2434</v>
      </c>
      <c r="F544" s="3" t="s">
        <v>5578</v>
      </c>
      <c r="G544" s="7" t="s">
        <v>5560</v>
      </c>
      <c r="H544" s="3" t="s">
        <v>6003</v>
      </c>
      <c r="I544" s="3" t="s">
        <v>6004</v>
      </c>
      <c r="J544" s="3" t="s">
        <v>5536</v>
      </c>
      <c r="K544" s="3" t="s">
        <v>4035</v>
      </c>
      <c r="L544" s="8" t="str">
        <f>HYPERLINK("http://slimages.macys.com/is/image/MCY/15508202 ")</f>
        <v xml:space="preserve">http://slimages.macys.com/is/image/MCY/15508202 </v>
      </c>
    </row>
    <row r="545" spans="1:12" x14ac:dyDescent="0.25">
      <c r="A545" s="6" t="s">
        <v>98</v>
      </c>
      <c r="B545" s="3" t="s">
        <v>2433</v>
      </c>
      <c r="C545" s="4">
        <v>2</v>
      </c>
      <c r="D545" s="5">
        <v>69.98</v>
      </c>
      <c r="E545" s="4" t="s">
        <v>2434</v>
      </c>
      <c r="F545" s="3" t="s">
        <v>5578</v>
      </c>
      <c r="G545" s="7" t="s">
        <v>5562</v>
      </c>
      <c r="H545" s="3" t="s">
        <v>6003</v>
      </c>
      <c r="I545" s="3" t="s">
        <v>6004</v>
      </c>
      <c r="J545" s="3" t="s">
        <v>5536</v>
      </c>
      <c r="K545" s="3" t="s">
        <v>4035</v>
      </c>
      <c r="L545" s="8" t="str">
        <f>HYPERLINK("http://slimages.macys.com/is/image/MCY/15508202 ")</f>
        <v xml:space="preserve">http://slimages.macys.com/is/image/MCY/15508202 </v>
      </c>
    </row>
    <row r="546" spans="1:12" ht="36.75" x14ac:dyDescent="0.25">
      <c r="A546" s="6" t="s">
        <v>99</v>
      </c>
      <c r="B546" s="3" t="s">
        <v>100</v>
      </c>
      <c r="C546" s="4">
        <v>1</v>
      </c>
      <c r="D546" s="5">
        <v>34.99</v>
      </c>
      <c r="E546" s="4" t="s">
        <v>101</v>
      </c>
      <c r="F546" s="3" t="s">
        <v>5540</v>
      </c>
      <c r="G546" s="7" t="s">
        <v>5560</v>
      </c>
      <c r="H546" s="3" t="s">
        <v>6065</v>
      </c>
      <c r="I546" s="3" t="s">
        <v>6066</v>
      </c>
      <c r="J546" s="3" t="s">
        <v>5536</v>
      </c>
      <c r="K546" s="3" t="s">
        <v>102</v>
      </c>
      <c r="L546" s="8" t="str">
        <f>HYPERLINK("http://slimages.macys.com/is/image/MCY/14409638 ")</f>
        <v xml:space="preserve">http://slimages.macys.com/is/image/MCY/14409638 </v>
      </c>
    </row>
    <row r="547" spans="1:12" ht="24.75" x14ac:dyDescent="0.25">
      <c r="A547" s="6" t="s">
        <v>6538</v>
      </c>
      <c r="B547" s="3" t="s">
        <v>6539</v>
      </c>
      <c r="C547" s="4">
        <v>1</v>
      </c>
      <c r="D547" s="5">
        <v>22.25</v>
      </c>
      <c r="E547" s="4" t="s">
        <v>6540</v>
      </c>
      <c r="F547" s="3" t="s">
        <v>5661</v>
      </c>
      <c r="G547" s="7" t="s">
        <v>5898</v>
      </c>
      <c r="H547" s="3" t="s">
        <v>6280</v>
      </c>
      <c r="I547" s="3" t="s">
        <v>6533</v>
      </c>
      <c r="J547" s="3" t="s">
        <v>5536</v>
      </c>
      <c r="K547" s="3" t="s">
        <v>6537</v>
      </c>
      <c r="L547" s="8" t="str">
        <f>HYPERLINK("http://slimages.macys.com/is/image/MCY/9108274 ")</f>
        <v xml:space="preserve">http://slimages.macys.com/is/image/MCY/9108274 </v>
      </c>
    </row>
    <row r="548" spans="1:12" ht="24.75" x14ac:dyDescent="0.25">
      <c r="A548" s="6" t="s">
        <v>103</v>
      </c>
      <c r="B548" s="3" t="s">
        <v>104</v>
      </c>
      <c r="C548" s="4">
        <v>1</v>
      </c>
      <c r="D548" s="5">
        <v>22.25</v>
      </c>
      <c r="E548" s="4" t="s">
        <v>105</v>
      </c>
      <c r="F548" s="3" t="s">
        <v>5566</v>
      </c>
      <c r="G548" s="7" t="s">
        <v>5898</v>
      </c>
      <c r="H548" s="3" t="s">
        <v>6280</v>
      </c>
      <c r="I548" s="3" t="s">
        <v>6533</v>
      </c>
      <c r="J548" s="3" t="s">
        <v>5536</v>
      </c>
      <c r="K548" s="3" t="s">
        <v>6303</v>
      </c>
      <c r="L548" s="8" t="str">
        <f>HYPERLINK("http://slimages.macys.com/is/image/MCY/12077162 ")</f>
        <v xml:space="preserve">http://slimages.macys.com/is/image/MCY/12077162 </v>
      </c>
    </row>
    <row r="549" spans="1:12" x14ac:dyDescent="0.25">
      <c r="A549" s="6" t="s">
        <v>106</v>
      </c>
      <c r="B549" s="3" t="s">
        <v>107</v>
      </c>
      <c r="C549" s="4">
        <v>1</v>
      </c>
      <c r="D549" s="5">
        <v>37.99</v>
      </c>
      <c r="E549" s="4" t="s">
        <v>108</v>
      </c>
      <c r="F549" s="3" t="s">
        <v>5783</v>
      </c>
      <c r="G549" s="7" t="s">
        <v>5596</v>
      </c>
      <c r="H549" s="3" t="s">
        <v>5978</v>
      </c>
      <c r="I549" s="3" t="s">
        <v>5979</v>
      </c>
      <c r="J549" s="3" t="s">
        <v>5536</v>
      </c>
      <c r="K549" s="3" t="s">
        <v>5549</v>
      </c>
      <c r="L549" s="8" t="str">
        <f>HYPERLINK("http://slimages.macys.com/is/image/MCY/15250600 ")</f>
        <v xml:space="preserve">http://slimages.macys.com/is/image/MCY/15250600 </v>
      </c>
    </row>
    <row r="550" spans="1:12" ht="24.75" x14ac:dyDescent="0.25">
      <c r="A550" s="6" t="s">
        <v>109</v>
      </c>
      <c r="B550" s="3" t="s">
        <v>6273</v>
      </c>
      <c r="C550" s="4">
        <v>1</v>
      </c>
      <c r="D550" s="5">
        <v>25</v>
      </c>
      <c r="E550" s="4" t="s">
        <v>6274</v>
      </c>
      <c r="F550" s="3" t="s">
        <v>6410</v>
      </c>
      <c r="G550" s="7"/>
      <c r="H550" s="3" t="s">
        <v>5825</v>
      </c>
      <c r="I550" s="3" t="s">
        <v>6265</v>
      </c>
      <c r="J550" s="3" t="s">
        <v>5536</v>
      </c>
      <c r="K550" s="3" t="s">
        <v>6266</v>
      </c>
      <c r="L550" s="8" t="str">
        <f t="shared" ref="L550:L555" si="5">HYPERLINK("http://slimages.macys.com/is/image/MCY/11544590 ")</f>
        <v xml:space="preserve">http://slimages.macys.com/is/image/MCY/11544590 </v>
      </c>
    </row>
    <row r="551" spans="1:12" ht="24.75" x14ac:dyDescent="0.25">
      <c r="A551" s="6" t="s">
        <v>5053</v>
      </c>
      <c r="B551" s="3" t="s">
        <v>6273</v>
      </c>
      <c r="C551" s="4">
        <v>1</v>
      </c>
      <c r="D551" s="5">
        <v>25</v>
      </c>
      <c r="E551" s="4" t="s">
        <v>6274</v>
      </c>
      <c r="F551" s="3" t="s">
        <v>5604</v>
      </c>
      <c r="G551" s="7"/>
      <c r="H551" s="3" t="s">
        <v>5825</v>
      </c>
      <c r="I551" s="3" t="s">
        <v>6265</v>
      </c>
      <c r="J551" s="3" t="s">
        <v>5536</v>
      </c>
      <c r="K551" s="3" t="s">
        <v>6266</v>
      </c>
      <c r="L551" s="8" t="str">
        <f t="shared" si="5"/>
        <v xml:space="preserve">http://slimages.macys.com/is/image/MCY/11544590 </v>
      </c>
    </row>
    <row r="552" spans="1:12" ht="24.75" x14ac:dyDescent="0.25">
      <c r="A552" s="6" t="s">
        <v>110</v>
      </c>
      <c r="B552" s="3" t="s">
        <v>6273</v>
      </c>
      <c r="C552" s="4">
        <v>1</v>
      </c>
      <c r="D552" s="5">
        <v>25</v>
      </c>
      <c r="E552" s="4" t="s">
        <v>6274</v>
      </c>
      <c r="F552" s="3" t="s">
        <v>4043</v>
      </c>
      <c r="G552" s="7"/>
      <c r="H552" s="3" t="s">
        <v>5825</v>
      </c>
      <c r="I552" s="3" t="s">
        <v>6265</v>
      </c>
      <c r="J552" s="3" t="s">
        <v>5536</v>
      </c>
      <c r="K552" s="3" t="s">
        <v>6266</v>
      </c>
      <c r="L552" s="8" t="str">
        <f t="shared" si="5"/>
        <v xml:space="preserve">http://slimages.macys.com/is/image/MCY/11544590 </v>
      </c>
    </row>
    <row r="553" spans="1:12" ht="24.75" x14ac:dyDescent="0.25">
      <c r="A553" s="6" t="s">
        <v>445</v>
      </c>
      <c r="B553" s="3" t="s">
        <v>6273</v>
      </c>
      <c r="C553" s="4">
        <v>2</v>
      </c>
      <c r="D553" s="5">
        <v>50</v>
      </c>
      <c r="E553" s="4" t="s">
        <v>6274</v>
      </c>
      <c r="F553" s="3" t="s">
        <v>5604</v>
      </c>
      <c r="G553" s="7"/>
      <c r="H553" s="3" t="s">
        <v>5825</v>
      </c>
      <c r="I553" s="3" t="s">
        <v>6265</v>
      </c>
      <c r="J553" s="3" t="s">
        <v>5536</v>
      </c>
      <c r="K553" s="3" t="s">
        <v>6266</v>
      </c>
      <c r="L553" s="8" t="str">
        <f t="shared" si="5"/>
        <v xml:space="preserve">http://slimages.macys.com/is/image/MCY/11544590 </v>
      </c>
    </row>
    <row r="554" spans="1:12" ht="24.75" x14ac:dyDescent="0.25">
      <c r="A554" s="6" t="s">
        <v>446</v>
      </c>
      <c r="B554" s="3" t="s">
        <v>6273</v>
      </c>
      <c r="C554" s="4">
        <v>2</v>
      </c>
      <c r="D554" s="5">
        <v>50</v>
      </c>
      <c r="E554" s="4" t="s">
        <v>6274</v>
      </c>
      <c r="F554" s="3" t="s">
        <v>5604</v>
      </c>
      <c r="G554" s="7"/>
      <c r="H554" s="3" t="s">
        <v>5825</v>
      </c>
      <c r="I554" s="3" t="s">
        <v>6265</v>
      </c>
      <c r="J554" s="3" t="s">
        <v>5536</v>
      </c>
      <c r="K554" s="3" t="s">
        <v>6266</v>
      </c>
      <c r="L554" s="8" t="str">
        <f t="shared" si="5"/>
        <v xml:space="preserve">http://slimages.macys.com/is/image/MCY/11544590 </v>
      </c>
    </row>
    <row r="555" spans="1:12" ht="24.75" x14ac:dyDescent="0.25">
      <c r="A555" s="6" t="s">
        <v>5055</v>
      </c>
      <c r="B555" s="3" t="s">
        <v>6273</v>
      </c>
      <c r="C555" s="4">
        <v>2</v>
      </c>
      <c r="D555" s="5">
        <v>50</v>
      </c>
      <c r="E555" s="4" t="s">
        <v>6274</v>
      </c>
      <c r="F555" s="3" t="s">
        <v>5604</v>
      </c>
      <c r="G555" s="7"/>
      <c r="H555" s="3" t="s">
        <v>5825</v>
      </c>
      <c r="I555" s="3" t="s">
        <v>6265</v>
      </c>
      <c r="J555" s="3" t="s">
        <v>5536</v>
      </c>
      <c r="K555" s="3" t="s">
        <v>6266</v>
      </c>
      <c r="L555" s="8" t="str">
        <f t="shared" si="5"/>
        <v xml:space="preserve">http://slimages.macys.com/is/image/MCY/11544590 </v>
      </c>
    </row>
    <row r="556" spans="1:12" x14ac:dyDescent="0.25">
      <c r="A556" s="6" t="s">
        <v>5058</v>
      </c>
      <c r="B556" s="3" t="s">
        <v>6544</v>
      </c>
      <c r="C556" s="4">
        <v>1</v>
      </c>
      <c r="D556" s="5">
        <v>29.5</v>
      </c>
      <c r="E556" s="4">
        <v>100086684</v>
      </c>
      <c r="F556" s="3" t="s">
        <v>5540</v>
      </c>
      <c r="G556" s="7" t="s">
        <v>5596</v>
      </c>
      <c r="H556" s="3" t="s">
        <v>5585</v>
      </c>
      <c r="I556" s="3" t="s">
        <v>5734</v>
      </c>
      <c r="J556" s="3" t="s">
        <v>5536</v>
      </c>
      <c r="K556" s="3" t="s">
        <v>5574</v>
      </c>
      <c r="L556" s="8" t="str">
        <f>HYPERLINK("http://slimages.macys.com/is/image/MCY/15889065 ")</f>
        <v xml:space="preserve">http://slimages.macys.com/is/image/MCY/15889065 </v>
      </c>
    </row>
    <row r="557" spans="1:12" ht="36.75" x14ac:dyDescent="0.25">
      <c r="A557" s="6" t="s">
        <v>111</v>
      </c>
      <c r="B557" s="3" t="s">
        <v>112</v>
      </c>
      <c r="C557" s="4">
        <v>1</v>
      </c>
      <c r="D557" s="5">
        <v>19.98</v>
      </c>
      <c r="E557" s="4" t="s">
        <v>113</v>
      </c>
      <c r="F557" s="3" t="s">
        <v>5661</v>
      </c>
      <c r="G557" s="7" t="s">
        <v>6877</v>
      </c>
      <c r="H557" s="3" t="s">
        <v>6430</v>
      </c>
      <c r="I557" s="3" t="s">
        <v>6431</v>
      </c>
      <c r="J557" s="3" t="s">
        <v>5536</v>
      </c>
      <c r="K557" s="3" t="s">
        <v>5594</v>
      </c>
      <c r="L557" s="8" t="str">
        <f>HYPERLINK("http://slimages.macys.com/is/image/MCY/9400715 ")</f>
        <v xml:space="preserve">http://slimages.macys.com/is/image/MCY/9400715 </v>
      </c>
    </row>
    <row r="558" spans="1:12" ht="24.75" x14ac:dyDescent="0.25">
      <c r="A558" s="6" t="s">
        <v>5059</v>
      </c>
      <c r="B558" s="3" t="s">
        <v>6273</v>
      </c>
      <c r="C558" s="4">
        <v>1</v>
      </c>
      <c r="D558" s="5">
        <v>25</v>
      </c>
      <c r="E558" s="4" t="s">
        <v>6274</v>
      </c>
      <c r="F558" s="3" t="s">
        <v>5745</v>
      </c>
      <c r="G558" s="7"/>
      <c r="H558" s="3" t="s">
        <v>5825</v>
      </c>
      <c r="I558" s="3" t="s">
        <v>6265</v>
      </c>
      <c r="J558" s="3" t="s">
        <v>5536</v>
      </c>
      <c r="K558" s="3" t="s">
        <v>6266</v>
      </c>
      <c r="L558" s="8" t="str">
        <f>HYPERLINK("http://slimages.macys.com/is/image/MCY/9710602 ")</f>
        <v xml:space="preserve">http://slimages.macys.com/is/image/MCY/9710602 </v>
      </c>
    </row>
    <row r="559" spans="1:12" ht="24.75" x14ac:dyDescent="0.25">
      <c r="A559" s="6" t="s">
        <v>114</v>
      </c>
      <c r="B559" s="3" t="s">
        <v>6558</v>
      </c>
      <c r="C559" s="4">
        <v>2</v>
      </c>
      <c r="D559" s="5">
        <v>69.98</v>
      </c>
      <c r="E559" s="4" t="s">
        <v>6559</v>
      </c>
      <c r="F559" s="3" t="s">
        <v>6075</v>
      </c>
      <c r="G559" s="7" t="s">
        <v>5562</v>
      </c>
      <c r="H559" s="3" t="s">
        <v>5978</v>
      </c>
      <c r="I559" s="3" t="s">
        <v>5979</v>
      </c>
      <c r="J559" s="3" t="s">
        <v>5536</v>
      </c>
      <c r="K559" s="3" t="s">
        <v>5864</v>
      </c>
      <c r="L559" s="8" t="str">
        <f>HYPERLINK("http://slimages.macys.com/is/image/MCY/15250545 ")</f>
        <v xml:space="preserve">http://slimages.macys.com/is/image/MCY/15250545 </v>
      </c>
    </row>
    <row r="560" spans="1:12" ht="24.75" x14ac:dyDescent="0.25">
      <c r="A560" s="6" t="s">
        <v>115</v>
      </c>
      <c r="B560" s="3" t="s">
        <v>6558</v>
      </c>
      <c r="C560" s="4">
        <v>1</v>
      </c>
      <c r="D560" s="5">
        <v>34.99</v>
      </c>
      <c r="E560" s="4" t="s">
        <v>6559</v>
      </c>
      <c r="F560" s="3" t="s">
        <v>5540</v>
      </c>
      <c r="G560" s="7" t="s">
        <v>5598</v>
      </c>
      <c r="H560" s="3" t="s">
        <v>5978</v>
      </c>
      <c r="I560" s="3" t="s">
        <v>5979</v>
      </c>
      <c r="J560" s="3" t="s">
        <v>5536</v>
      </c>
      <c r="K560" s="3" t="s">
        <v>5864</v>
      </c>
      <c r="L560" s="8" t="str">
        <f>HYPERLINK("http://slimages.macys.com/is/image/MCY/15250545 ")</f>
        <v xml:space="preserve">http://slimages.macys.com/is/image/MCY/15250545 </v>
      </c>
    </row>
    <row r="561" spans="1:12" ht="24.75" x14ac:dyDescent="0.25">
      <c r="A561" s="6" t="s">
        <v>6557</v>
      </c>
      <c r="B561" s="3" t="s">
        <v>6558</v>
      </c>
      <c r="C561" s="4">
        <v>1</v>
      </c>
      <c r="D561" s="5">
        <v>34.99</v>
      </c>
      <c r="E561" s="4" t="s">
        <v>6559</v>
      </c>
      <c r="F561" s="3" t="s">
        <v>6075</v>
      </c>
      <c r="G561" s="7" t="s">
        <v>5598</v>
      </c>
      <c r="H561" s="3" t="s">
        <v>5978</v>
      </c>
      <c r="I561" s="3" t="s">
        <v>5979</v>
      </c>
      <c r="J561" s="3" t="s">
        <v>5536</v>
      </c>
      <c r="K561" s="3" t="s">
        <v>5864</v>
      </c>
      <c r="L561" s="8" t="str">
        <f>HYPERLINK("http://slimages.macys.com/is/image/MCY/15250545 ")</f>
        <v xml:space="preserve">http://slimages.macys.com/is/image/MCY/15250545 </v>
      </c>
    </row>
    <row r="562" spans="1:12" ht="24.75" x14ac:dyDescent="0.25">
      <c r="A562" s="6" t="s">
        <v>116</v>
      </c>
      <c r="B562" s="3" t="s">
        <v>5067</v>
      </c>
      <c r="C562" s="4">
        <v>1</v>
      </c>
      <c r="D562" s="5">
        <v>23</v>
      </c>
      <c r="E562" s="4">
        <v>100019475</v>
      </c>
      <c r="F562" s="3" t="s">
        <v>5532</v>
      </c>
      <c r="G562" s="7" t="s">
        <v>5835</v>
      </c>
      <c r="H562" s="3" t="s">
        <v>5825</v>
      </c>
      <c r="I562" s="3" t="s">
        <v>5826</v>
      </c>
      <c r="J562" s="3" t="s">
        <v>5536</v>
      </c>
      <c r="K562" s="3" t="s">
        <v>5594</v>
      </c>
      <c r="L562" s="8" t="str">
        <f>HYPERLINK("http://slimages.macys.com/is/image/MCY/9512821 ")</f>
        <v xml:space="preserve">http://slimages.macys.com/is/image/MCY/9512821 </v>
      </c>
    </row>
    <row r="563" spans="1:12" ht="24.75" x14ac:dyDescent="0.25">
      <c r="A563" s="6" t="s">
        <v>117</v>
      </c>
      <c r="B563" s="3" t="s">
        <v>5067</v>
      </c>
      <c r="C563" s="4">
        <v>1</v>
      </c>
      <c r="D563" s="5">
        <v>23</v>
      </c>
      <c r="E563" s="4">
        <v>100019475</v>
      </c>
      <c r="F563" s="3" t="s">
        <v>5532</v>
      </c>
      <c r="G563" s="7" t="s">
        <v>6476</v>
      </c>
      <c r="H563" s="3" t="s">
        <v>5825</v>
      </c>
      <c r="I563" s="3" t="s">
        <v>5826</v>
      </c>
      <c r="J563" s="3" t="s">
        <v>5536</v>
      </c>
      <c r="K563" s="3" t="s">
        <v>5594</v>
      </c>
      <c r="L563" s="8" t="str">
        <f>HYPERLINK("http://slimages.macys.com/is/image/MCY/9512821 ")</f>
        <v xml:space="preserve">http://slimages.macys.com/is/image/MCY/9512821 </v>
      </c>
    </row>
    <row r="564" spans="1:12" ht="24.75" x14ac:dyDescent="0.25">
      <c r="A564" s="6" t="s">
        <v>5069</v>
      </c>
      <c r="B564" s="3" t="s">
        <v>5067</v>
      </c>
      <c r="C564" s="4">
        <v>1</v>
      </c>
      <c r="D564" s="5">
        <v>23</v>
      </c>
      <c r="E564" s="4">
        <v>100019475</v>
      </c>
      <c r="F564" s="3" t="s">
        <v>5532</v>
      </c>
      <c r="G564" s="7" t="s">
        <v>5766</v>
      </c>
      <c r="H564" s="3" t="s">
        <v>5825</v>
      </c>
      <c r="I564" s="3" t="s">
        <v>5826</v>
      </c>
      <c r="J564" s="3" t="s">
        <v>5536</v>
      </c>
      <c r="K564" s="3" t="s">
        <v>5594</v>
      </c>
      <c r="L564" s="8" t="str">
        <f>HYPERLINK("http://slimages.macys.com/is/image/MCY/9512821 ")</f>
        <v xml:space="preserve">http://slimages.macys.com/is/image/MCY/9512821 </v>
      </c>
    </row>
    <row r="565" spans="1:12" ht="24.75" x14ac:dyDescent="0.25">
      <c r="A565" s="6" t="s">
        <v>5066</v>
      </c>
      <c r="B565" s="3" t="s">
        <v>5067</v>
      </c>
      <c r="C565" s="4">
        <v>2</v>
      </c>
      <c r="D565" s="5">
        <v>46</v>
      </c>
      <c r="E565" s="4">
        <v>100019475</v>
      </c>
      <c r="F565" s="3" t="s">
        <v>5532</v>
      </c>
      <c r="G565" s="7" t="s">
        <v>6025</v>
      </c>
      <c r="H565" s="3" t="s">
        <v>5825</v>
      </c>
      <c r="I565" s="3" t="s">
        <v>5826</v>
      </c>
      <c r="J565" s="3" t="s">
        <v>5536</v>
      </c>
      <c r="K565" s="3" t="s">
        <v>5594</v>
      </c>
      <c r="L565" s="8" t="str">
        <f>HYPERLINK("http://slimages.macys.com/is/image/MCY/9512821 ")</f>
        <v xml:space="preserve">http://slimages.macys.com/is/image/MCY/9512821 </v>
      </c>
    </row>
    <row r="566" spans="1:12" ht="24.75" x14ac:dyDescent="0.25">
      <c r="A566" s="6" t="s">
        <v>118</v>
      </c>
      <c r="B566" s="3" t="s">
        <v>5067</v>
      </c>
      <c r="C566" s="4">
        <v>1</v>
      </c>
      <c r="D566" s="5">
        <v>23</v>
      </c>
      <c r="E566" s="4">
        <v>100019475</v>
      </c>
      <c r="F566" s="3" t="s">
        <v>5532</v>
      </c>
      <c r="G566" s="7" t="s">
        <v>5760</v>
      </c>
      <c r="H566" s="3" t="s">
        <v>5825</v>
      </c>
      <c r="I566" s="3" t="s">
        <v>5826</v>
      </c>
      <c r="J566" s="3" t="s">
        <v>5536</v>
      </c>
      <c r="K566" s="3" t="s">
        <v>5594</v>
      </c>
      <c r="L566" s="8" t="str">
        <f>HYPERLINK("http://slimages.macys.com/is/image/MCY/9512821 ")</f>
        <v xml:space="preserve">http://slimages.macys.com/is/image/MCY/9512821 </v>
      </c>
    </row>
    <row r="567" spans="1:12" ht="36.75" x14ac:dyDescent="0.25">
      <c r="A567" s="6" t="s">
        <v>119</v>
      </c>
      <c r="B567" s="3" t="s">
        <v>120</v>
      </c>
      <c r="C567" s="4">
        <v>1</v>
      </c>
      <c r="D567" s="5">
        <v>28</v>
      </c>
      <c r="E567" s="4">
        <v>18231</v>
      </c>
      <c r="F567" s="3" t="s">
        <v>5540</v>
      </c>
      <c r="G567" s="7" t="s">
        <v>6666</v>
      </c>
      <c r="H567" s="3" t="s">
        <v>5842</v>
      </c>
      <c r="I567" s="3" t="s">
        <v>3228</v>
      </c>
      <c r="J567" s="3" t="s">
        <v>5536</v>
      </c>
      <c r="K567" s="3" t="s">
        <v>121</v>
      </c>
      <c r="L567" s="8" t="str">
        <f>HYPERLINK("http://slimages.macys.com/is/image/MCY/9952968 ")</f>
        <v xml:space="preserve">http://slimages.macys.com/is/image/MCY/9952968 </v>
      </c>
    </row>
    <row r="568" spans="1:12" ht="24.75" x14ac:dyDescent="0.25">
      <c r="A568" s="6" t="s">
        <v>122</v>
      </c>
      <c r="B568" s="3" t="s">
        <v>123</v>
      </c>
      <c r="C568" s="4">
        <v>1</v>
      </c>
      <c r="D568" s="5">
        <v>23.5</v>
      </c>
      <c r="E568" s="4" t="s">
        <v>124</v>
      </c>
      <c r="F568" s="3" t="s">
        <v>5793</v>
      </c>
      <c r="G568" s="7"/>
      <c r="H568" s="3" t="s">
        <v>6026</v>
      </c>
      <c r="I568" s="3" t="s">
        <v>125</v>
      </c>
      <c r="J568" s="3" t="s">
        <v>5536</v>
      </c>
      <c r="K568" s="3" t="s">
        <v>5574</v>
      </c>
      <c r="L568" s="8" t="str">
        <f>HYPERLINK("http://slimages.macys.com/is/image/MCY/3929322 ")</f>
        <v xml:space="preserve">http://slimages.macys.com/is/image/MCY/3929322 </v>
      </c>
    </row>
    <row r="569" spans="1:12" x14ac:dyDescent="0.25">
      <c r="A569" s="6" t="s">
        <v>126</v>
      </c>
      <c r="B569" s="3" t="s">
        <v>127</v>
      </c>
      <c r="C569" s="4">
        <v>1</v>
      </c>
      <c r="D569" s="5">
        <v>29.5</v>
      </c>
      <c r="E569" s="4">
        <v>100028160</v>
      </c>
      <c r="F569" s="3" t="s">
        <v>5610</v>
      </c>
      <c r="G569" s="7" t="s">
        <v>5560</v>
      </c>
      <c r="H569" s="3" t="s">
        <v>5585</v>
      </c>
      <c r="I569" s="3" t="s">
        <v>5734</v>
      </c>
      <c r="J569" s="3" t="s">
        <v>5536</v>
      </c>
      <c r="K569" s="3" t="s">
        <v>5594</v>
      </c>
      <c r="L569" s="8" t="str">
        <f>HYPERLINK("http://slimages.macys.com/is/image/MCY/9783950 ")</f>
        <v xml:space="preserve">http://slimages.macys.com/is/image/MCY/9783950 </v>
      </c>
    </row>
    <row r="570" spans="1:12" ht="24.75" x14ac:dyDescent="0.25">
      <c r="A570" s="6" t="s">
        <v>128</v>
      </c>
      <c r="B570" s="3" t="s">
        <v>482</v>
      </c>
      <c r="C570" s="4">
        <v>1</v>
      </c>
      <c r="D570" s="5">
        <v>23</v>
      </c>
      <c r="E570" s="4" t="s">
        <v>483</v>
      </c>
      <c r="F570" s="3" t="s">
        <v>5578</v>
      </c>
      <c r="G570" s="7" t="s">
        <v>6025</v>
      </c>
      <c r="H570" s="3" t="s">
        <v>5825</v>
      </c>
      <c r="I570" s="3" t="s">
        <v>5826</v>
      </c>
      <c r="J570" s="3" t="s">
        <v>5536</v>
      </c>
      <c r="K570" s="3" t="s">
        <v>5594</v>
      </c>
      <c r="L570" s="8" t="str">
        <f>HYPERLINK("http://slimages.macys.com/is/image/MCY/9811498 ")</f>
        <v xml:space="preserve">http://slimages.macys.com/is/image/MCY/9811498 </v>
      </c>
    </row>
    <row r="571" spans="1:12" ht="24.75" x14ac:dyDescent="0.25">
      <c r="A571" s="6" t="s">
        <v>129</v>
      </c>
      <c r="B571" s="3" t="s">
        <v>482</v>
      </c>
      <c r="C571" s="4">
        <v>1</v>
      </c>
      <c r="D571" s="5">
        <v>23</v>
      </c>
      <c r="E571" s="4" t="s">
        <v>483</v>
      </c>
      <c r="F571" s="3" t="s">
        <v>5578</v>
      </c>
      <c r="G571" s="7" t="s">
        <v>5762</v>
      </c>
      <c r="H571" s="3" t="s">
        <v>5825</v>
      </c>
      <c r="I571" s="3" t="s">
        <v>5826</v>
      </c>
      <c r="J571" s="3" t="s">
        <v>5536</v>
      </c>
      <c r="K571" s="3" t="s">
        <v>5594</v>
      </c>
      <c r="L571" s="8" t="str">
        <f>HYPERLINK("http://slimages.macys.com/is/image/MCY/9811498 ")</f>
        <v xml:space="preserve">http://slimages.macys.com/is/image/MCY/9811498 </v>
      </c>
    </row>
    <row r="572" spans="1:12" ht="24.75" x14ac:dyDescent="0.25">
      <c r="A572" s="6" t="s">
        <v>1044</v>
      </c>
      <c r="B572" s="3" t="s">
        <v>3235</v>
      </c>
      <c r="C572" s="4">
        <v>1</v>
      </c>
      <c r="D572" s="5">
        <v>23</v>
      </c>
      <c r="E572" s="4" t="s">
        <v>3236</v>
      </c>
      <c r="F572" s="3" t="s">
        <v>5578</v>
      </c>
      <c r="G572" s="7" t="s">
        <v>5835</v>
      </c>
      <c r="H572" s="3" t="s">
        <v>5825</v>
      </c>
      <c r="I572" s="3" t="s">
        <v>5826</v>
      </c>
      <c r="J572" s="3" t="s">
        <v>5536</v>
      </c>
      <c r="K572" s="3" t="s">
        <v>5549</v>
      </c>
      <c r="L572" s="8" t="str">
        <f>HYPERLINK("http://slimages.macys.com/is/image/MCY/10267374 ")</f>
        <v xml:space="preserve">http://slimages.macys.com/is/image/MCY/10267374 </v>
      </c>
    </row>
    <row r="573" spans="1:12" x14ac:dyDescent="0.25">
      <c r="A573" s="6" t="s">
        <v>2438</v>
      </c>
      <c r="B573" s="3" t="s">
        <v>6561</v>
      </c>
      <c r="C573" s="4">
        <v>1</v>
      </c>
      <c r="D573" s="5">
        <v>17.989999999999998</v>
      </c>
      <c r="E573" s="4" t="s">
        <v>6562</v>
      </c>
      <c r="F573" s="3" t="s">
        <v>5540</v>
      </c>
      <c r="G573" s="7" t="s">
        <v>5533</v>
      </c>
      <c r="H573" s="3" t="s">
        <v>5606</v>
      </c>
      <c r="I573" s="3" t="s">
        <v>5914</v>
      </c>
      <c r="J573" s="3" t="s">
        <v>5536</v>
      </c>
      <c r="K573" s="3" t="s">
        <v>5549</v>
      </c>
      <c r="L573" s="8" t="str">
        <f>HYPERLINK("http://slimages.macys.com/is/image/MCY/14907434 ")</f>
        <v xml:space="preserve">http://slimages.macys.com/is/image/MCY/14907434 </v>
      </c>
    </row>
    <row r="574" spans="1:12" ht="24.75" x14ac:dyDescent="0.25">
      <c r="A574" s="6" t="s">
        <v>130</v>
      </c>
      <c r="B574" s="3" t="s">
        <v>2440</v>
      </c>
      <c r="C574" s="4">
        <v>1</v>
      </c>
      <c r="D574" s="5">
        <v>23</v>
      </c>
      <c r="E574" s="4" t="s">
        <v>2441</v>
      </c>
      <c r="F574" s="3" t="s">
        <v>5783</v>
      </c>
      <c r="G574" s="7" t="s">
        <v>5830</v>
      </c>
      <c r="H574" s="3" t="s">
        <v>5825</v>
      </c>
      <c r="I574" s="3" t="s">
        <v>5826</v>
      </c>
      <c r="J574" s="3" t="s">
        <v>5536</v>
      </c>
      <c r="K574" s="3" t="s">
        <v>5594</v>
      </c>
      <c r="L574" s="8" t="str">
        <f>HYPERLINK("http://slimages.macys.com/is/image/MCY/9267353 ")</f>
        <v xml:space="preserve">http://slimages.macys.com/is/image/MCY/9267353 </v>
      </c>
    </row>
    <row r="575" spans="1:12" ht="24.75" x14ac:dyDescent="0.25">
      <c r="A575" s="6" t="s">
        <v>131</v>
      </c>
      <c r="B575" s="3" t="s">
        <v>2440</v>
      </c>
      <c r="C575" s="4">
        <v>1</v>
      </c>
      <c r="D575" s="5">
        <v>23</v>
      </c>
      <c r="E575" s="4" t="s">
        <v>2441</v>
      </c>
      <c r="F575" s="3" t="s">
        <v>5783</v>
      </c>
      <c r="G575" s="7" t="s">
        <v>5768</v>
      </c>
      <c r="H575" s="3" t="s">
        <v>5825</v>
      </c>
      <c r="I575" s="3" t="s">
        <v>5826</v>
      </c>
      <c r="J575" s="3" t="s">
        <v>5536</v>
      </c>
      <c r="K575" s="3" t="s">
        <v>5594</v>
      </c>
      <c r="L575" s="8" t="str">
        <f>HYPERLINK("http://slimages.macys.com/is/image/MCY/9267353 ")</f>
        <v xml:space="preserve">http://slimages.macys.com/is/image/MCY/9267353 </v>
      </c>
    </row>
    <row r="576" spans="1:12" ht="24.75" x14ac:dyDescent="0.25">
      <c r="A576" s="6" t="s">
        <v>132</v>
      </c>
      <c r="B576" s="3" t="s">
        <v>6568</v>
      </c>
      <c r="C576" s="4">
        <v>3</v>
      </c>
      <c r="D576" s="5">
        <v>69</v>
      </c>
      <c r="E576" s="4">
        <v>100019472</v>
      </c>
      <c r="F576" s="3" t="s">
        <v>5783</v>
      </c>
      <c r="G576" s="7" t="s">
        <v>5766</v>
      </c>
      <c r="H576" s="3" t="s">
        <v>5825</v>
      </c>
      <c r="I576" s="3" t="s">
        <v>5826</v>
      </c>
      <c r="J576" s="3" t="s">
        <v>5536</v>
      </c>
      <c r="K576" s="3" t="s">
        <v>5594</v>
      </c>
      <c r="L576" s="8" t="str">
        <f>HYPERLINK("http://slimages.macys.com/is/image/MCY/9470798 ")</f>
        <v xml:space="preserve">http://slimages.macys.com/is/image/MCY/9470798 </v>
      </c>
    </row>
    <row r="577" spans="1:12" ht="24.75" x14ac:dyDescent="0.25">
      <c r="A577" s="6" t="s">
        <v>133</v>
      </c>
      <c r="B577" s="3" t="s">
        <v>6568</v>
      </c>
      <c r="C577" s="4">
        <v>1</v>
      </c>
      <c r="D577" s="5">
        <v>23</v>
      </c>
      <c r="E577" s="4">
        <v>100019472</v>
      </c>
      <c r="F577" s="3" t="s">
        <v>5783</v>
      </c>
      <c r="G577" s="7" t="s">
        <v>5779</v>
      </c>
      <c r="H577" s="3" t="s">
        <v>5825</v>
      </c>
      <c r="I577" s="3" t="s">
        <v>5826</v>
      </c>
      <c r="J577" s="3" t="s">
        <v>5536</v>
      </c>
      <c r="K577" s="3" t="s">
        <v>5594</v>
      </c>
      <c r="L577" s="8" t="str">
        <f>HYPERLINK("http://slimages.macys.com/is/image/MCY/9470798 ")</f>
        <v xml:space="preserve">http://slimages.macys.com/is/image/MCY/9470798 </v>
      </c>
    </row>
    <row r="578" spans="1:12" ht="24.75" x14ac:dyDescent="0.25">
      <c r="A578" s="6" t="s">
        <v>134</v>
      </c>
      <c r="B578" s="3" t="s">
        <v>6568</v>
      </c>
      <c r="C578" s="4">
        <v>1</v>
      </c>
      <c r="D578" s="5">
        <v>23</v>
      </c>
      <c r="E578" s="4">
        <v>100019472</v>
      </c>
      <c r="F578" s="3" t="s">
        <v>5783</v>
      </c>
      <c r="G578" s="7" t="s">
        <v>5762</v>
      </c>
      <c r="H578" s="3" t="s">
        <v>5825</v>
      </c>
      <c r="I578" s="3" t="s">
        <v>5826</v>
      </c>
      <c r="J578" s="3" t="s">
        <v>5536</v>
      </c>
      <c r="K578" s="3" t="s">
        <v>5594</v>
      </c>
      <c r="L578" s="8" t="str">
        <f>HYPERLINK("http://slimages.macys.com/is/image/MCY/9470798 ")</f>
        <v xml:space="preserve">http://slimages.macys.com/is/image/MCY/9470798 </v>
      </c>
    </row>
    <row r="579" spans="1:12" ht="24.75" x14ac:dyDescent="0.25">
      <c r="A579" s="6" t="s">
        <v>5073</v>
      </c>
      <c r="B579" s="3" t="s">
        <v>6566</v>
      </c>
      <c r="C579" s="4">
        <v>1</v>
      </c>
      <c r="D579" s="5">
        <v>23</v>
      </c>
      <c r="E579" s="4">
        <v>100019476</v>
      </c>
      <c r="F579" s="3" t="s">
        <v>5783</v>
      </c>
      <c r="G579" s="7" t="s">
        <v>5766</v>
      </c>
      <c r="H579" s="3" t="s">
        <v>5825</v>
      </c>
      <c r="I579" s="3" t="s">
        <v>5826</v>
      </c>
      <c r="J579" s="3" t="s">
        <v>5536</v>
      </c>
      <c r="K579" s="3" t="s">
        <v>5594</v>
      </c>
      <c r="L579" s="8" t="str">
        <f>HYPERLINK("http://slimages.macys.com/is/image/MCY/9512821 ")</f>
        <v xml:space="preserve">http://slimages.macys.com/is/image/MCY/9512821 </v>
      </c>
    </row>
    <row r="580" spans="1:12" ht="24.75" x14ac:dyDescent="0.25">
      <c r="A580" s="6" t="s">
        <v>135</v>
      </c>
      <c r="B580" s="3" t="s">
        <v>6568</v>
      </c>
      <c r="C580" s="4">
        <v>2</v>
      </c>
      <c r="D580" s="5">
        <v>46</v>
      </c>
      <c r="E580" s="4">
        <v>100019472</v>
      </c>
      <c r="F580" s="3" t="s">
        <v>5783</v>
      </c>
      <c r="G580" s="7"/>
      <c r="H580" s="3" t="s">
        <v>5825</v>
      </c>
      <c r="I580" s="3" t="s">
        <v>5826</v>
      </c>
      <c r="J580" s="3" t="s">
        <v>5536</v>
      </c>
      <c r="K580" s="3" t="s">
        <v>5594</v>
      </c>
      <c r="L580" s="8" t="str">
        <f>HYPERLINK("http://slimages.macys.com/is/image/MCY/9470798 ")</f>
        <v xml:space="preserve">http://slimages.macys.com/is/image/MCY/9470798 </v>
      </c>
    </row>
    <row r="581" spans="1:12" ht="24.75" x14ac:dyDescent="0.25">
      <c r="A581" s="6" t="s">
        <v>136</v>
      </c>
      <c r="B581" s="3" t="s">
        <v>6568</v>
      </c>
      <c r="C581" s="4">
        <v>1</v>
      </c>
      <c r="D581" s="5">
        <v>23</v>
      </c>
      <c r="E581" s="4">
        <v>100019472</v>
      </c>
      <c r="F581" s="3" t="s">
        <v>5783</v>
      </c>
      <c r="G581" s="7" t="s">
        <v>5760</v>
      </c>
      <c r="H581" s="3" t="s">
        <v>5825</v>
      </c>
      <c r="I581" s="3" t="s">
        <v>5826</v>
      </c>
      <c r="J581" s="3" t="s">
        <v>5536</v>
      </c>
      <c r="K581" s="3" t="s">
        <v>5594</v>
      </c>
      <c r="L581" s="8" t="str">
        <f>HYPERLINK("http://slimages.macys.com/is/image/MCY/9470798 ")</f>
        <v xml:space="preserve">http://slimages.macys.com/is/image/MCY/9470798 </v>
      </c>
    </row>
    <row r="582" spans="1:12" ht="24.75" x14ac:dyDescent="0.25">
      <c r="A582" s="6" t="s">
        <v>137</v>
      </c>
      <c r="B582" s="3" t="s">
        <v>6566</v>
      </c>
      <c r="C582" s="4">
        <v>1</v>
      </c>
      <c r="D582" s="5">
        <v>23</v>
      </c>
      <c r="E582" s="4">
        <v>100019476</v>
      </c>
      <c r="F582" s="3" t="s">
        <v>5783</v>
      </c>
      <c r="G582" s="7" t="s">
        <v>5835</v>
      </c>
      <c r="H582" s="3" t="s">
        <v>5825</v>
      </c>
      <c r="I582" s="3" t="s">
        <v>5826</v>
      </c>
      <c r="J582" s="3" t="s">
        <v>5536</v>
      </c>
      <c r="K582" s="3" t="s">
        <v>5594</v>
      </c>
      <c r="L582" s="8" t="str">
        <f>HYPERLINK("http://slimages.macys.com/is/image/MCY/9512821 ")</f>
        <v xml:space="preserve">http://slimages.macys.com/is/image/MCY/9512821 </v>
      </c>
    </row>
    <row r="583" spans="1:12" ht="24.75" x14ac:dyDescent="0.25">
      <c r="A583" s="6" t="s">
        <v>138</v>
      </c>
      <c r="B583" s="3" t="s">
        <v>6566</v>
      </c>
      <c r="C583" s="4">
        <v>3</v>
      </c>
      <c r="D583" s="5">
        <v>69</v>
      </c>
      <c r="E583" s="4">
        <v>100019476</v>
      </c>
      <c r="F583" s="3" t="s">
        <v>5783</v>
      </c>
      <c r="G583" s="7" t="s">
        <v>5777</v>
      </c>
      <c r="H583" s="3" t="s">
        <v>5825</v>
      </c>
      <c r="I583" s="3" t="s">
        <v>5826</v>
      </c>
      <c r="J583" s="3" t="s">
        <v>5536</v>
      </c>
      <c r="K583" s="3" t="s">
        <v>5594</v>
      </c>
      <c r="L583" s="8" t="str">
        <f>HYPERLINK("http://slimages.macys.com/is/image/MCY/9512821 ")</f>
        <v xml:space="preserve">http://slimages.macys.com/is/image/MCY/9512821 </v>
      </c>
    </row>
    <row r="584" spans="1:12" ht="24.75" x14ac:dyDescent="0.25">
      <c r="A584" s="6" t="s">
        <v>1046</v>
      </c>
      <c r="B584" s="3" t="s">
        <v>6568</v>
      </c>
      <c r="C584" s="4">
        <v>1</v>
      </c>
      <c r="D584" s="5">
        <v>23</v>
      </c>
      <c r="E584" s="4">
        <v>100019472</v>
      </c>
      <c r="F584" s="3" t="s">
        <v>5783</v>
      </c>
      <c r="G584" s="7" t="s">
        <v>5830</v>
      </c>
      <c r="H584" s="3" t="s">
        <v>5825</v>
      </c>
      <c r="I584" s="3" t="s">
        <v>5826</v>
      </c>
      <c r="J584" s="3" t="s">
        <v>5536</v>
      </c>
      <c r="K584" s="3" t="s">
        <v>5594</v>
      </c>
      <c r="L584" s="8" t="str">
        <f>HYPERLINK("http://slimages.macys.com/is/image/MCY/9470798 ")</f>
        <v xml:space="preserve">http://slimages.macys.com/is/image/MCY/9470798 </v>
      </c>
    </row>
    <row r="585" spans="1:12" ht="24.75" x14ac:dyDescent="0.25">
      <c r="A585" s="6" t="s">
        <v>6567</v>
      </c>
      <c r="B585" s="3" t="s">
        <v>6568</v>
      </c>
      <c r="C585" s="4">
        <v>2</v>
      </c>
      <c r="D585" s="5">
        <v>46</v>
      </c>
      <c r="E585" s="4">
        <v>100019472</v>
      </c>
      <c r="F585" s="3" t="s">
        <v>5783</v>
      </c>
      <c r="G585" s="7" t="s">
        <v>5835</v>
      </c>
      <c r="H585" s="3" t="s">
        <v>5825</v>
      </c>
      <c r="I585" s="3" t="s">
        <v>5826</v>
      </c>
      <c r="J585" s="3" t="s">
        <v>5536</v>
      </c>
      <c r="K585" s="3" t="s">
        <v>5594</v>
      </c>
      <c r="L585" s="8" t="str">
        <f>HYPERLINK("http://slimages.macys.com/is/image/MCY/9470798 ")</f>
        <v xml:space="preserve">http://slimages.macys.com/is/image/MCY/9470798 </v>
      </c>
    </row>
    <row r="586" spans="1:12" ht="24.75" x14ac:dyDescent="0.25">
      <c r="A586" s="6" t="s">
        <v>6570</v>
      </c>
      <c r="B586" s="3" t="s">
        <v>6568</v>
      </c>
      <c r="C586" s="4">
        <v>1</v>
      </c>
      <c r="D586" s="5">
        <v>23</v>
      </c>
      <c r="E586" s="4">
        <v>100019472</v>
      </c>
      <c r="F586" s="3" t="s">
        <v>5783</v>
      </c>
      <c r="G586" s="7" t="s">
        <v>6025</v>
      </c>
      <c r="H586" s="3" t="s">
        <v>5825</v>
      </c>
      <c r="I586" s="3" t="s">
        <v>5826</v>
      </c>
      <c r="J586" s="3" t="s">
        <v>5536</v>
      </c>
      <c r="K586" s="3" t="s">
        <v>5594</v>
      </c>
      <c r="L586" s="8" t="str">
        <f>HYPERLINK("http://slimages.macys.com/is/image/MCY/9470798 ")</f>
        <v xml:space="preserve">http://slimages.macys.com/is/image/MCY/9470798 </v>
      </c>
    </row>
    <row r="587" spans="1:12" x14ac:dyDescent="0.25">
      <c r="A587" s="6" t="s">
        <v>139</v>
      </c>
      <c r="B587" s="3" t="s">
        <v>489</v>
      </c>
      <c r="C587" s="4">
        <v>1</v>
      </c>
      <c r="D587" s="5">
        <v>24.5</v>
      </c>
      <c r="E587" s="4">
        <v>100018972</v>
      </c>
      <c r="F587" s="3" t="s">
        <v>5783</v>
      </c>
      <c r="G587" s="7" t="s">
        <v>5562</v>
      </c>
      <c r="H587" s="3" t="s">
        <v>5585</v>
      </c>
      <c r="I587" s="3" t="s">
        <v>5734</v>
      </c>
      <c r="J587" s="3" t="s">
        <v>5536</v>
      </c>
      <c r="K587" s="3" t="s">
        <v>5574</v>
      </c>
      <c r="L587" s="8" t="str">
        <f>HYPERLINK("http://slimages.macys.com/is/image/MCY/9805804 ")</f>
        <v xml:space="preserve">http://slimages.macys.com/is/image/MCY/9805804 </v>
      </c>
    </row>
    <row r="588" spans="1:12" x14ac:dyDescent="0.25">
      <c r="A588" s="6" t="s">
        <v>140</v>
      </c>
      <c r="B588" s="3" t="s">
        <v>489</v>
      </c>
      <c r="C588" s="4">
        <v>2</v>
      </c>
      <c r="D588" s="5">
        <v>49</v>
      </c>
      <c r="E588" s="4">
        <v>100018972</v>
      </c>
      <c r="F588" s="3" t="s">
        <v>5783</v>
      </c>
      <c r="G588" s="7" t="s">
        <v>5596</v>
      </c>
      <c r="H588" s="3" t="s">
        <v>5585</v>
      </c>
      <c r="I588" s="3" t="s">
        <v>5734</v>
      </c>
      <c r="J588" s="3" t="s">
        <v>5536</v>
      </c>
      <c r="K588" s="3" t="s">
        <v>5574</v>
      </c>
      <c r="L588" s="8" t="str">
        <f>HYPERLINK("http://slimages.macys.com/is/image/MCY/9805804 ")</f>
        <v xml:space="preserve">http://slimages.macys.com/is/image/MCY/9805804 </v>
      </c>
    </row>
    <row r="589" spans="1:12" x14ac:dyDescent="0.25">
      <c r="A589" s="6" t="s">
        <v>141</v>
      </c>
      <c r="B589" s="3" t="s">
        <v>489</v>
      </c>
      <c r="C589" s="4">
        <v>1</v>
      </c>
      <c r="D589" s="5">
        <v>24.5</v>
      </c>
      <c r="E589" s="4">
        <v>100018972</v>
      </c>
      <c r="F589" s="3" t="s">
        <v>5783</v>
      </c>
      <c r="G589" s="7" t="s">
        <v>5533</v>
      </c>
      <c r="H589" s="3" t="s">
        <v>5585</v>
      </c>
      <c r="I589" s="3" t="s">
        <v>5734</v>
      </c>
      <c r="J589" s="3" t="s">
        <v>5536</v>
      </c>
      <c r="K589" s="3" t="s">
        <v>5574</v>
      </c>
      <c r="L589" s="8" t="str">
        <f>HYPERLINK("http://slimages.macys.com/is/image/MCY/9805804 ")</f>
        <v xml:space="preserve">http://slimages.macys.com/is/image/MCY/9805804 </v>
      </c>
    </row>
    <row r="590" spans="1:12" ht="24.75" x14ac:dyDescent="0.25">
      <c r="A590" s="6" t="s">
        <v>142</v>
      </c>
      <c r="B590" s="3" t="s">
        <v>3239</v>
      </c>
      <c r="C590" s="4">
        <v>1</v>
      </c>
      <c r="D590" s="5">
        <v>39.5</v>
      </c>
      <c r="E590" s="4">
        <v>100003042</v>
      </c>
      <c r="F590" s="3" t="s">
        <v>5532</v>
      </c>
      <c r="G590" s="7" t="s">
        <v>5733</v>
      </c>
      <c r="H590" s="3" t="s">
        <v>5585</v>
      </c>
      <c r="I590" s="3" t="s">
        <v>5734</v>
      </c>
      <c r="J590" s="3" t="s">
        <v>5536</v>
      </c>
      <c r="K590" s="3" t="s">
        <v>5594</v>
      </c>
      <c r="L590" s="8" t="str">
        <f>HYPERLINK("http://slimages.macys.com/is/image/MCY/9144350 ")</f>
        <v xml:space="preserve">http://slimages.macys.com/is/image/MCY/9144350 </v>
      </c>
    </row>
    <row r="591" spans="1:12" x14ac:dyDescent="0.25">
      <c r="A591" s="6" t="s">
        <v>143</v>
      </c>
      <c r="B591" s="3" t="s">
        <v>3239</v>
      </c>
      <c r="C591" s="4">
        <v>1</v>
      </c>
      <c r="D591" s="5">
        <v>39.5</v>
      </c>
      <c r="E591" s="4">
        <v>100003042</v>
      </c>
      <c r="F591" s="3" t="s">
        <v>5532</v>
      </c>
      <c r="G591" s="7" t="s">
        <v>5598</v>
      </c>
      <c r="H591" s="3" t="s">
        <v>5585</v>
      </c>
      <c r="I591" s="3" t="s">
        <v>5734</v>
      </c>
      <c r="J591" s="3" t="s">
        <v>5536</v>
      </c>
      <c r="K591" s="3" t="s">
        <v>5594</v>
      </c>
      <c r="L591" s="8" t="str">
        <f>HYPERLINK("http://slimages.macys.com/is/image/MCY/9144350 ")</f>
        <v xml:space="preserve">http://slimages.macys.com/is/image/MCY/9144350 </v>
      </c>
    </row>
    <row r="592" spans="1:12" ht="24.75" x14ac:dyDescent="0.25">
      <c r="A592" s="6" t="s">
        <v>144</v>
      </c>
      <c r="B592" s="3" t="s">
        <v>2444</v>
      </c>
      <c r="C592" s="4">
        <v>1</v>
      </c>
      <c r="D592" s="5">
        <v>35</v>
      </c>
      <c r="E592" s="4">
        <v>10007368400</v>
      </c>
      <c r="F592" s="3" t="s">
        <v>5540</v>
      </c>
      <c r="G592" s="7" t="s">
        <v>5562</v>
      </c>
      <c r="H592" s="3" t="s">
        <v>3941</v>
      </c>
      <c r="I592" s="3" t="s">
        <v>3942</v>
      </c>
      <c r="J592" s="3" t="s">
        <v>5536</v>
      </c>
      <c r="K592" s="3" t="s">
        <v>5574</v>
      </c>
      <c r="L592" s="8" t="str">
        <f>HYPERLINK("http://slimages.macys.com/is/image/MCY/15434891 ")</f>
        <v xml:space="preserve">http://slimages.macys.com/is/image/MCY/15434891 </v>
      </c>
    </row>
    <row r="593" spans="1:12" ht="24.75" x14ac:dyDescent="0.25">
      <c r="A593" s="6" t="s">
        <v>145</v>
      </c>
      <c r="B593" s="3" t="s">
        <v>2444</v>
      </c>
      <c r="C593" s="4">
        <v>1</v>
      </c>
      <c r="D593" s="5">
        <v>35</v>
      </c>
      <c r="E593" s="4">
        <v>10007368400</v>
      </c>
      <c r="F593" s="3" t="s">
        <v>6275</v>
      </c>
      <c r="G593" s="7" t="s">
        <v>5533</v>
      </c>
      <c r="H593" s="3" t="s">
        <v>3941</v>
      </c>
      <c r="I593" s="3" t="s">
        <v>3942</v>
      </c>
      <c r="J593" s="3" t="s">
        <v>5536</v>
      </c>
      <c r="K593" s="3" t="s">
        <v>5574</v>
      </c>
      <c r="L593" s="8" t="str">
        <f>HYPERLINK("http://slimages.macys.com/is/image/MCY/15434891 ")</f>
        <v xml:space="preserve">http://slimages.macys.com/is/image/MCY/15434891 </v>
      </c>
    </row>
    <row r="594" spans="1:12" ht="24.75" x14ac:dyDescent="0.25">
      <c r="A594" s="6" t="s">
        <v>146</v>
      </c>
      <c r="B594" s="3" t="s">
        <v>2444</v>
      </c>
      <c r="C594" s="4">
        <v>1</v>
      </c>
      <c r="D594" s="5">
        <v>35</v>
      </c>
      <c r="E594" s="4">
        <v>10007368400</v>
      </c>
      <c r="F594" s="3" t="s">
        <v>5820</v>
      </c>
      <c r="G594" s="7" t="s">
        <v>5562</v>
      </c>
      <c r="H594" s="3" t="s">
        <v>3941</v>
      </c>
      <c r="I594" s="3" t="s">
        <v>3942</v>
      </c>
      <c r="J594" s="3" t="s">
        <v>5536</v>
      </c>
      <c r="K594" s="3" t="s">
        <v>5574</v>
      </c>
      <c r="L594" s="8" t="str">
        <f>HYPERLINK("http://slimages.macys.com/is/image/MCY/15434891 ")</f>
        <v xml:space="preserve">http://slimages.macys.com/is/image/MCY/15434891 </v>
      </c>
    </row>
    <row r="595" spans="1:12" ht="24.75" x14ac:dyDescent="0.25">
      <c r="A595" s="6" t="s">
        <v>147</v>
      </c>
      <c r="B595" s="3" t="s">
        <v>6575</v>
      </c>
      <c r="C595" s="4">
        <v>1</v>
      </c>
      <c r="D595" s="5">
        <v>23</v>
      </c>
      <c r="E595" s="4" t="s">
        <v>6576</v>
      </c>
      <c r="F595" s="3" t="s">
        <v>5532</v>
      </c>
      <c r="G595" s="7" t="s">
        <v>5824</v>
      </c>
      <c r="H595" s="3" t="s">
        <v>5825</v>
      </c>
      <c r="I595" s="3" t="s">
        <v>5826</v>
      </c>
      <c r="J595" s="3" t="s">
        <v>5536</v>
      </c>
      <c r="K595" s="3" t="s">
        <v>5549</v>
      </c>
      <c r="L595" s="8" t="str">
        <f>HYPERLINK("http://slimages.macys.com/is/image/MCY/14532354 ")</f>
        <v xml:space="preserve">http://slimages.macys.com/is/image/MCY/14532354 </v>
      </c>
    </row>
    <row r="596" spans="1:12" ht="24.75" x14ac:dyDescent="0.25">
      <c r="A596" s="6" t="s">
        <v>6577</v>
      </c>
      <c r="B596" s="3" t="s">
        <v>6575</v>
      </c>
      <c r="C596" s="4">
        <v>1</v>
      </c>
      <c r="D596" s="5">
        <v>23</v>
      </c>
      <c r="E596" s="4" t="s">
        <v>6576</v>
      </c>
      <c r="F596" s="3" t="s">
        <v>5532</v>
      </c>
      <c r="G596" s="7" t="s">
        <v>5779</v>
      </c>
      <c r="H596" s="3" t="s">
        <v>5825</v>
      </c>
      <c r="I596" s="3" t="s">
        <v>5826</v>
      </c>
      <c r="J596" s="3" t="s">
        <v>5536</v>
      </c>
      <c r="K596" s="3" t="s">
        <v>5549</v>
      </c>
      <c r="L596" s="8" t="str">
        <f>HYPERLINK("http://slimages.macys.com/is/image/MCY/14532354 ")</f>
        <v xml:space="preserve">http://slimages.macys.com/is/image/MCY/14532354 </v>
      </c>
    </row>
    <row r="597" spans="1:12" ht="24.75" x14ac:dyDescent="0.25">
      <c r="A597" s="6" t="s">
        <v>148</v>
      </c>
      <c r="B597" s="3" t="s">
        <v>6575</v>
      </c>
      <c r="C597" s="4">
        <v>1</v>
      </c>
      <c r="D597" s="5">
        <v>23</v>
      </c>
      <c r="E597" s="4" t="s">
        <v>6576</v>
      </c>
      <c r="F597" s="3" t="s">
        <v>5532</v>
      </c>
      <c r="G597" s="7" t="s">
        <v>6476</v>
      </c>
      <c r="H597" s="3" t="s">
        <v>5825</v>
      </c>
      <c r="I597" s="3" t="s">
        <v>5826</v>
      </c>
      <c r="J597" s="3" t="s">
        <v>5536</v>
      </c>
      <c r="K597" s="3" t="s">
        <v>5549</v>
      </c>
      <c r="L597" s="8" t="str">
        <f>HYPERLINK("http://slimages.macys.com/is/image/MCY/14532354 ")</f>
        <v xml:space="preserve">http://slimages.macys.com/is/image/MCY/14532354 </v>
      </c>
    </row>
    <row r="598" spans="1:12" ht="24.75" x14ac:dyDescent="0.25">
      <c r="A598" s="6" t="s">
        <v>6591</v>
      </c>
      <c r="B598" s="3" t="s">
        <v>6581</v>
      </c>
      <c r="C598" s="4">
        <v>1</v>
      </c>
      <c r="D598" s="5">
        <v>23</v>
      </c>
      <c r="E598" s="4">
        <v>100005324</v>
      </c>
      <c r="F598" s="3" t="s">
        <v>5532</v>
      </c>
      <c r="G598" s="7"/>
      <c r="H598" s="3" t="s">
        <v>5825</v>
      </c>
      <c r="I598" s="3" t="s">
        <v>5826</v>
      </c>
      <c r="J598" s="3" t="s">
        <v>5536</v>
      </c>
      <c r="K598" s="3" t="s">
        <v>5594</v>
      </c>
      <c r="L598" s="8" t="str">
        <f>HYPERLINK("http://slimages.macys.com/is/image/MCY/9267398 ")</f>
        <v xml:space="preserve">http://slimages.macys.com/is/image/MCY/9267398 </v>
      </c>
    </row>
    <row r="599" spans="1:12" ht="24.75" x14ac:dyDescent="0.25">
      <c r="A599" s="6" t="s">
        <v>6584</v>
      </c>
      <c r="B599" s="3" t="s">
        <v>6583</v>
      </c>
      <c r="C599" s="4">
        <v>2</v>
      </c>
      <c r="D599" s="5">
        <v>46</v>
      </c>
      <c r="E599" s="4">
        <v>100019474</v>
      </c>
      <c r="F599" s="3" t="s">
        <v>5532</v>
      </c>
      <c r="G599" s="7" t="s">
        <v>6025</v>
      </c>
      <c r="H599" s="3" t="s">
        <v>5825</v>
      </c>
      <c r="I599" s="3" t="s">
        <v>5826</v>
      </c>
      <c r="J599" s="3" t="s">
        <v>5536</v>
      </c>
      <c r="K599" s="3" t="s">
        <v>5594</v>
      </c>
      <c r="L599" s="8" t="str">
        <f>HYPERLINK("http://slimages.macys.com/is/image/MCY/9758508 ")</f>
        <v xml:space="preserve">http://slimages.macys.com/is/image/MCY/9758508 </v>
      </c>
    </row>
    <row r="600" spans="1:12" ht="24.75" x14ac:dyDescent="0.25">
      <c r="A600" s="6" t="s">
        <v>5079</v>
      </c>
      <c r="B600" s="3" t="s">
        <v>6583</v>
      </c>
      <c r="C600" s="4">
        <v>1</v>
      </c>
      <c r="D600" s="5">
        <v>23</v>
      </c>
      <c r="E600" s="4">
        <v>100019474</v>
      </c>
      <c r="F600" s="3" t="s">
        <v>5532</v>
      </c>
      <c r="G600" s="7" t="s">
        <v>5760</v>
      </c>
      <c r="H600" s="3" t="s">
        <v>5825</v>
      </c>
      <c r="I600" s="3" t="s">
        <v>5826</v>
      </c>
      <c r="J600" s="3" t="s">
        <v>5536</v>
      </c>
      <c r="K600" s="3" t="s">
        <v>5594</v>
      </c>
      <c r="L600" s="8" t="str">
        <f>HYPERLINK("http://slimages.macys.com/is/image/MCY/9758508 ")</f>
        <v xml:space="preserve">http://slimages.macys.com/is/image/MCY/9758508 </v>
      </c>
    </row>
    <row r="601" spans="1:12" ht="24.75" x14ac:dyDescent="0.25">
      <c r="A601" s="6" t="s">
        <v>6585</v>
      </c>
      <c r="B601" s="3" t="s">
        <v>6583</v>
      </c>
      <c r="C601" s="4">
        <v>2</v>
      </c>
      <c r="D601" s="5">
        <v>46</v>
      </c>
      <c r="E601" s="4">
        <v>100019474</v>
      </c>
      <c r="F601" s="3" t="s">
        <v>5532</v>
      </c>
      <c r="G601" s="7" t="s">
        <v>5835</v>
      </c>
      <c r="H601" s="3" t="s">
        <v>5825</v>
      </c>
      <c r="I601" s="3" t="s">
        <v>5826</v>
      </c>
      <c r="J601" s="3" t="s">
        <v>5536</v>
      </c>
      <c r="K601" s="3" t="s">
        <v>5594</v>
      </c>
      <c r="L601" s="8" t="str">
        <f>HYPERLINK("http://slimages.macys.com/is/image/MCY/9758508 ")</f>
        <v xml:space="preserve">http://slimages.macys.com/is/image/MCY/9758508 </v>
      </c>
    </row>
    <row r="602" spans="1:12" ht="24.75" x14ac:dyDescent="0.25">
      <c r="A602" s="6" t="s">
        <v>5078</v>
      </c>
      <c r="B602" s="3" t="s">
        <v>6581</v>
      </c>
      <c r="C602" s="4">
        <v>2</v>
      </c>
      <c r="D602" s="5">
        <v>46</v>
      </c>
      <c r="E602" s="4">
        <v>100005324</v>
      </c>
      <c r="F602" s="3" t="s">
        <v>5532</v>
      </c>
      <c r="G602" s="7" t="s">
        <v>5777</v>
      </c>
      <c r="H602" s="3" t="s">
        <v>5825</v>
      </c>
      <c r="I602" s="3" t="s">
        <v>5826</v>
      </c>
      <c r="J602" s="3" t="s">
        <v>5536</v>
      </c>
      <c r="K602" s="3" t="s">
        <v>5594</v>
      </c>
      <c r="L602" s="8" t="str">
        <f>HYPERLINK("http://slimages.macys.com/is/image/MCY/9267398 ")</f>
        <v xml:space="preserve">http://slimages.macys.com/is/image/MCY/9267398 </v>
      </c>
    </row>
    <row r="603" spans="1:12" ht="24.75" x14ac:dyDescent="0.25">
      <c r="A603" s="6" t="s">
        <v>6594</v>
      </c>
      <c r="B603" s="3" t="s">
        <v>6583</v>
      </c>
      <c r="C603" s="4">
        <v>5</v>
      </c>
      <c r="D603" s="5">
        <v>115</v>
      </c>
      <c r="E603" s="4">
        <v>100019474</v>
      </c>
      <c r="F603" s="3" t="s">
        <v>5532</v>
      </c>
      <c r="G603" s="7" t="s">
        <v>5766</v>
      </c>
      <c r="H603" s="3" t="s">
        <v>5825</v>
      </c>
      <c r="I603" s="3" t="s">
        <v>5826</v>
      </c>
      <c r="J603" s="3" t="s">
        <v>5536</v>
      </c>
      <c r="K603" s="3" t="s">
        <v>5594</v>
      </c>
      <c r="L603" s="8" t="str">
        <f>HYPERLINK("http://slimages.macys.com/is/image/MCY/9758508 ")</f>
        <v xml:space="preserve">http://slimages.macys.com/is/image/MCY/9758508 </v>
      </c>
    </row>
    <row r="604" spans="1:12" ht="24.75" x14ac:dyDescent="0.25">
      <c r="A604" s="6" t="s">
        <v>6587</v>
      </c>
      <c r="B604" s="3" t="s">
        <v>6583</v>
      </c>
      <c r="C604" s="4">
        <v>2</v>
      </c>
      <c r="D604" s="5">
        <v>46</v>
      </c>
      <c r="E604" s="4">
        <v>100019474</v>
      </c>
      <c r="F604" s="3" t="s">
        <v>5532</v>
      </c>
      <c r="G604" s="7"/>
      <c r="H604" s="3" t="s">
        <v>5825</v>
      </c>
      <c r="I604" s="3" t="s">
        <v>5826</v>
      </c>
      <c r="J604" s="3" t="s">
        <v>5536</v>
      </c>
      <c r="K604" s="3" t="s">
        <v>5594</v>
      </c>
      <c r="L604" s="8" t="str">
        <f>HYPERLINK("http://slimages.macys.com/is/image/MCY/9758508 ")</f>
        <v xml:space="preserve">http://slimages.macys.com/is/image/MCY/9758508 </v>
      </c>
    </row>
    <row r="605" spans="1:12" ht="24.75" x14ac:dyDescent="0.25">
      <c r="A605" s="6" t="s">
        <v>149</v>
      </c>
      <c r="B605" s="3" t="s">
        <v>6581</v>
      </c>
      <c r="C605" s="4">
        <v>2</v>
      </c>
      <c r="D605" s="5">
        <v>46</v>
      </c>
      <c r="E605" s="4">
        <v>100005324</v>
      </c>
      <c r="F605" s="3" t="s">
        <v>5532</v>
      </c>
      <c r="G605" s="7" t="s">
        <v>5766</v>
      </c>
      <c r="H605" s="3" t="s">
        <v>5825</v>
      </c>
      <c r="I605" s="3" t="s">
        <v>5826</v>
      </c>
      <c r="J605" s="3" t="s">
        <v>5536</v>
      </c>
      <c r="K605" s="3" t="s">
        <v>5594</v>
      </c>
      <c r="L605" s="8" t="str">
        <f>HYPERLINK("http://slimages.macys.com/is/image/MCY/9267398 ")</f>
        <v xml:space="preserve">http://slimages.macys.com/is/image/MCY/9267398 </v>
      </c>
    </row>
    <row r="606" spans="1:12" ht="24.75" x14ac:dyDescent="0.25">
      <c r="A606" s="6" t="s">
        <v>6595</v>
      </c>
      <c r="B606" s="3" t="s">
        <v>6581</v>
      </c>
      <c r="C606" s="4">
        <v>1</v>
      </c>
      <c r="D606" s="5">
        <v>23</v>
      </c>
      <c r="E606" s="4">
        <v>100005324</v>
      </c>
      <c r="F606" s="3" t="s">
        <v>5532</v>
      </c>
      <c r="G606" s="7" t="s">
        <v>6025</v>
      </c>
      <c r="H606" s="3" t="s">
        <v>5825</v>
      </c>
      <c r="I606" s="3" t="s">
        <v>5826</v>
      </c>
      <c r="J606" s="3" t="s">
        <v>5536</v>
      </c>
      <c r="K606" s="3" t="s">
        <v>5594</v>
      </c>
      <c r="L606" s="8" t="str">
        <f>HYPERLINK("http://slimages.macys.com/is/image/MCY/9267398 ")</f>
        <v xml:space="preserve">http://slimages.macys.com/is/image/MCY/9267398 </v>
      </c>
    </row>
    <row r="607" spans="1:12" ht="24.75" x14ac:dyDescent="0.25">
      <c r="A607" s="6" t="s">
        <v>150</v>
      </c>
      <c r="B607" s="3" t="s">
        <v>6581</v>
      </c>
      <c r="C607" s="4">
        <v>1</v>
      </c>
      <c r="D607" s="5">
        <v>23</v>
      </c>
      <c r="E607" s="4">
        <v>100005324</v>
      </c>
      <c r="F607" s="3" t="s">
        <v>5532</v>
      </c>
      <c r="G607" s="7" t="s">
        <v>5779</v>
      </c>
      <c r="H607" s="3" t="s">
        <v>5825</v>
      </c>
      <c r="I607" s="3" t="s">
        <v>5826</v>
      </c>
      <c r="J607" s="3" t="s">
        <v>5536</v>
      </c>
      <c r="K607" s="3" t="s">
        <v>5594</v>
      </c>
      <c r="L607" s="8" t="str">
        <f>HYPERLINK("http://slimages.macys.com/is/image/MCY/9267398 ")</f>
        <v xml:space="preserve">http://slimages.macys.com/is/image/MCY/9267398 </v>
      </c>
    </row>
    <row r="608" spans="1:12" ht="24.75" x14ac:dyDescent="0.25">
      <c r="A608" s="6" t="s">
        <v>6593</v>
      </c>
      <c r="B608" s="3" t="s">
        <v>6583</v>
      </c>
      <c r="C608" s="4">
        <v>2</v>
      </c>
      <c r="D608" s="5">
        <v>46</v>
      </c>
      <c r="E608" s="4">
        <v>100019474</v>
      </c>
      <c r="F608" s="3" t="s">
        <v>5532</v>
      </c>
      <c r="G608" s="7" t="s">
        <v>5824</v>
      </c>
      <c r="H608" s="3" t="s">
        <v>5825</v>
      </c>
      <c r="I608" s="3" t="s">
        <v>5826</v>
      </c>
      <c r="J608" s="3" t="s">
        <v>5536</v>
      </c>
      <c r="K608" s="3" t="s">
        <v>5594</v>
      </c>
      <c r="L608" s="8" t="str">
        <f>HYPERLINK("http://slimages.macys.com/is/image/MCY/9758508 ")</f>
        <v xml:space="preserve">http://slimages.macys.com/is/image/MCY/9758508 </v>
      </c>
    </row>
    <row r="609" spans="1:12" ht="24.75" x14ac:dyDescent="0.25">
      <c r="A609" s="6" t="s">
        <v>6596</v>
      </c>
      <c r="B609" s="3" t="s">
        <v>6583</v>
      </c>
      <c r="C609" s="4">
        <v>1</v>
      </c>
      <c r="D609" s="5">
        <v>23</v>
      </c>
      <c r="E609" s="4">
        <v>100019474</v>
      </c>
      <c r="F609" s="3" t="s">
        <v>5532</v>
      </c>
      <c r="G609" s="7" t="s">
        <v>6476</v>
      </c>
      <c r="H609" s="3" t="s">
        <v>5825</v>
      </c>
      <c r="I609" s="3" t="s">
        <v>5826</v>
      </c>
      <c r="J609" s="3" t="s">
        <v>5536</v>
      </c>
      <c r="K609" s="3" t="s">
        <v>5594</v>
      </c>
      <c r="L609" s="8" t="str">
        <f>HYPERLINK("http://slimages.macys.com/is/image/MCY/9758508 ")</f>
        <v xml:space="preserve">http://slimages.macys.com/is/image/MCY/9758508 </v>
      </c>
    </row>
    <row r="610" spans="1:12" ht="24.75" x14ac:dyDescent="0.25">
      <c r="A610" s="6" t="s">
        <v>6582</v>
      </c>
      <c r="B610" s="3" t="s">
        <v>6583</v>
      </c>
      <c r="C610" s="4">
        <v>2</v>
      </c>
      <c r="D610" s="5">
        <v>46</v>
      </c>
      <c r="E610" s="4">
        <v>100019474</v>
      </c>
      <c r="F610" s="3" t="s">
        <v>5532</v>
      </c>
      <c r="G610" s="7" t="s">
        <v>5777</v>
      </c>
      <c r="H610" s="3" t="s">
        <v>5825</v>
      </c>
      <c r="I610" s="3" t="s">
        <v>5826</v>
      </c>
      <c r="J610" s="3" t="s">
        <v>5536</v>
      </c>
      <c r="K610" s="3" t="s">
        <v>5594</v>
      </c>
      <c r="L610" s="8" t="str">
        <f>HYPERLINK("http://slimages.macys.com/is/image/MCY/9758508 ")</f>
        <v xml:space="preserve">http://slimages.macys.com/is/image/MCY/9758508 </v>
      </c>
    </row>
    <row r="611" spans="1:12" ht="24.75" x14ac:dyDescent="0.25">
      <c r="A611" s="6" t="s">
        <v>6588</v>
      </c>
      <c r="B611" s="3" t="s">
        <v>6581</v>
      </c>
      <c r="C611" s="4">
        <v>1</v>
      </c>
      <c r="D611" s="5">
        <v>23</v>
      </c>
      <c r="E611" s="4">
        <v>100005324</v>
      </c>
      <c r="F611" s="3" t="s">
        <v>5532</v>
      </c>
      <c r="G611" s="7"/>
      <c r="H611" s="3" t="s">
        <v>5825</v>
      </c>
      <c r="I611" s="3" t="s">
        <v>5826</v>
      </c>
      <c r="J611" s="3" t="s">
        <v>5536</v>
      </c>
      <c r="K611" s="3" t="s">
        <v>5594</v>
      </c>
      <c r="L611" s="8" t="str">
        <f>HYPERLINK("http://slimages.macys.com/is/image/MCY/9267398 ")</f>
        <v xml:space="preserve">http://slimages.macys.com/is/image/MCY/9267398 </v>
      </c>
    </row>
    <row r="612" spans="1:12" ht="24.75" x14ac:dyDescent="0.25">
      <c r="A612" s="6" t="s">
        <v>151</v>
      </c>
      <c r="B612" s="3" t="s">
        <v>152</v>
      </c>
      <c r="C612" s="4">
        <v>1</v>
      </c>
      <c r="D612" s="5">
        <v>24</v>
      </c>
      <c r="E612" s="4">
        <v>100005096</v>
      </c>
      <c r="F612" s="3" t="s">
        <v>6335</v>
      </c>
      <c r="G612" s="7"/>
      <c r="H612" s="3" t="s">
        <v>5825</v>
      </c>
      <c r="I612" s="3" t="s">
        <v>6673</v>
      </c>
      <c r="J612" s="3" t="s">
        <v>5536</v>
      </c>
      <c r="K612" s="3" t="s">
        <v>5594</v>
      </c>
      <c r="L612" s="8" t="str">
        <f>HYPERLINK("http://slimages.macys.com/is/image/MCY/9211308 ")</f>
        <v xml:space="preserve">http://slimages.macys.com/is/image/MCY/9211308 </v>
      </c>
    </row>
    <row r="613" spans="1:12" ht="24.75" x14ac:dyDescent="0.25">
      <c r="A613" s="6" t="s">
        <v>153</v>
      </c>
      <c r="B613" s="3" t="s">
        <v>154</v>
      </c>
      <c r="C613" s="4">
        <v>1</v>
      </c>
      <c r="D613" s="5">
        <v>24</v>
      </c>
      <c r="E613" s="4" t="s">
        <v>155</v>
      </c>
      <c r="F613" s="3" t="s">
        <v>5783</v>
      </c>
      <c r="G613" s="7"/>
      <c r="H613" s="3" t="s">
        <v>5825</v>
      </c>
      <c r="I613" s="3" t="s">
        <v>6673</v>
      </c>
      <c r="J613" s="3" t="s">
        <v>5536</v>
      </c>
      <c r="K613" s="3" t="s">
        <v>5553</v>
      </c>
      <c r="L613" s="8" t="str">
        <f>HYPERLINK("http://slimages.macys.com/is/image/MCY/8974187 ")</f>
        <v xml:space="preserve">http://slimages.macys.com/is/image/MCY/8974187 </v>
      </c>
    </row>
    <row r="614" spans="1:12" ht="36.75" x14ac:dyDescent="0.25">
      <c r="A614" s="6" t="s">
        <v>2466</v>
      </c>
      <c r="B614" s="3" t="s">
        <v>2467</v>
      </c>
      <c r="C614" s="4">
        <v>2</v>
      </c>
      <c r="D614" s="5">
        <v>46.68</v>
      </c>
      <c r="E614" s="4" t="s">
        <v>2468</v>
      </c>
      <c r="F614" s="3" t="s">
        <v>5625</v>
      </c>
      <c r="G614" s="7" t="s">
        <v>5898</v>
      </c>
      <c r="H614" s="3" t="s">
        <v>6280</v>
      </c>
      <c r="I614" s="3" t="s">
        <v>4330</v>
      </c>
      <c r="J614" s="3" t="s">
        <v>5536</v>
      </c>
      <c r="K614" s="3" t="s">
        <v>2469</v>
      </c>
      <c r="L614" s="8" t="str">
        <f>HYPERLINK("http://slimages.macys.com/is/image/MCY/16079952 ")</f>
        <v xml:space="preserve">http://slimages.macys.com/is/image/MCY/16079952 </v>
      </c>
    </row>
    <row r="615" spans="1:12" ht="24.75" x14ac:dyDescent="0.25">
      <c r="A615" s="6" t="s">
        <v>156</v>
      </c>
      <c r="B615" s="3" t="s">
        <v>157</v>
      </c>
      <c r="C615" s="4">
        <v>1</v>
      </c>
      <c r="D615" s="5">
        <v>23.34</v>
      </c>
      <c r="E615" s="4" t="s">
        <v>158</v>
      </c>
      <c r="F615" s="3" t="s">
        <v>5532</v>
      </c>
      <c r="G615" s="7" t="s">
        <v>5898</v>
      </c>
      <c r="H615" s="3" t="s">
        <v>6280</v>
      </c>
      <c r="I615" s="3" t="s">
        <v>4330</v>
      </c>
      <c r="J615" s="3" t="s">
        <v>5536</v>
      </c>
      <c r="K615" s="3" t="s">
        <v>159</v>
      </c>
      <c r="L615" s="8" t="str">
        <f>HYPERLINK("http://slimages.macys.com/is/image/MCY/10145439 ")</f>
        <v xml:space="preserve">http://slimages.macys.com/is/image/MCY/10145439 </v>
      </c>
    </row>
    <row r="616" spans="1:12" ht="24.75" x14ac:dyDescent="0.25">
      <c r="A616" s="6" t="s">
        <v>2470</v>
      </c>
      <c r="B616" s="3" t="s">
        <v>2471</v>
      </c>
      <c r="C616" s="4">
        <v>1</v>
      </c>
      <c r="D616" s="5">
        <v>23.34</v>
      </c>
      <c r="E616" s="4" t="s">
        <v>2472</v>
      </c>
      <c r="F616" s="3" t="s">
        <v>5540</v>
      </c>
      <c r="G616" s="7" t="s">
        <v>5898</v>
      </c>
      <c r="H616" s="3" t="s">
        <v>6280</v>
      </c>
      <c r="I616" s="3" t="s">
        <v>4330</v>
      </c>
      <c r="J616" s="3" t="s">
        <v>5536</v>
      </c>
      <c r="K616" s="3" t="s">
        <v>2473</v>
      </c>
      <c r="L616" s="8" t="str">
        <f>HYPERLINK("http://slimages.macys.com/is/image/MCY/16079425 ")</f>
        <v xml:space="preserve">http://slimages.macys.com/is/image/MCY/16079425 </v>
      </c>
    </row>
    <row r="617" spans="1:12" ht="24.75" x14ac:dyDescent="0.25">
      <c r="A617" s="6" t="s">
        <v>160</v>
      </c>
      <c r="B617" s="3" t="s">
        <v>161</v>
      </c>
      <c r="C617" s="4">
        <v>1</v>
      </c>
      <c r="D617" s="5">
        <v>23.34</v>
      </c>
      <c r="E617" s="4" t="s">
        <v>162</v>
      </c>
      <c r="F617" s="3" t="s">
        <v>5540</v>
      </c>
      <c r="G617" s="7" t="s">
        <v>5898</v>
      </c>
      <c r="H617" s="3" t="s">
        <v>6280</v>
      </c>
      <c r="I617" s="3" t="s">
        <v>4330</v>
      </c>
      <c r="J617" s="3" t="s">
        <v>5536</v>
      </c>
      <c r="K617" s="3" t="s">
        <v>6338</v>
      </c>
      <c r="L617" s="8" t="str">
        <f>HYPERLINK("http://slimages.macys.com/is/image/MCY/15882690 ")</f>
        <v xml:space="preserve">http://slimages.macys.com/is/image/MCY/15882690 </v>
      </c>
    </row>
    <row r="618" spans="1:12" ht="24.75" x14ac:dyDescent="0.25">
      <c r="A618" s="6" t="s">
        <v>163</v>
      </c>
      <c r="B618" s="3" t="s">
        <v>164</v>
      </c>
      <c r="C618" s="4">
        <v>1</v>
      </c>
      <c r="D618" s="5">
        <v>23.34</v>
      </c>
      <c r="E618" s="4" t="s">
        <v>165</v>
      </c>
      <c r="F618" s="3" t="s">
        <v>5532</v>
      </c>
      <c r="G618" s="7" t="s">
        <v>5898</v>
      </c>
      <c r="H618" s="3" t="s">
        <v>6280</v>
      </c>
      <c r="I618" s="3" t="s">
        <v>4330</v>
      </c>
      <c r="J618" s="3" t="s">
        <v>5536</v>
      </c>
      <c r="K618" s="3" t="s">
        <v>6316</v>
      </c>
      <c r="L618" s="8" t="str">
        <f>HYPERLINK("http://slimages.macys.com/is/image/MCY/15882653 ")</f>
        <v xml:space="preserve">http://slimages.macys.com/is/image/MCY/15882653 </v>
      </c>
    </row>
    <row r="619" spans="1:12" ht="24.75" x14ac:dyDescent="0.25">
      <c r="A619" s="6" t="s">
        <v>166</v>
      </c>
      <c r="B619" s="3" t="s">
        <v>167</v>
      </c>
      <c r="C619" s="4">
        <v>2</v>
      </c>
      <c r="D619" s="5">
        <v>46.68</v>
      </c>
      <c r="E619" s="4" t="s">
        <v>168</v>
      </c>
      <c r="F619" s="3" t="s">
        <v>5540</v>
      </c>
      <c r="G619" s="7" t="s">
        <v>5898</v>
      </c>
      <c r="H619" s="3" t="s">
        <v>6280</v>
      </c>
      <c r="I619" s="3" t="s">
        <v>4330</v>
      </c>
      <c r="J619" s="3" t="s">
        <v>5536</v>
      </c>
      <c r="K619" s="3" t="s">
        <v>6316</v>
      </c>
      <c r="L619" s="8" t="str">
        <f>HYPERLINK("http://slimages.macys.com/is/image/MCY/15177870 ")</f>
        <v xml:space="preserve">http://slimages.macys.com/is/image/MCY/15177870 </v>
      </c>
    </row>
    <row r="620" spans="1:12" ht="24.75" x14ac:dyDescent="0.25">
      <c r="A620" s="6" t="s">
        <v>169</v>
      </c>
      <c r="B620" s="3" t="s">
        <v>2471</v>
      </c>
      <c r="C620" s="4">
        <v>1</v>
      </c>
      <c r="D620" s="5">
        <v>23.34</v>
      </c>
      <c r="E620" s="4" t="s">
        <v>2472</v>
      </c>
      <c r="F620" s="3" t="s">
        <v>5532</v>
      </c>
      <c r="G620" s="7" t="s">
        <v>5898</v>
      </c>
      <c r="H620" s="3" t="s">
        <v>6280</v>
      </c>
      <c r="I620" s="3" t="s">
        <v>4330</v>
      </c>
      <c r="J620" s="3" t="s">
        <v>5536</v>
      </c>
      <c r="K620" s="3" t="s">
        <v>2473</v>
      </c>
      <c r="L620" s="8" t="str">
        <f>HYPERLINK("http://slimages.macys.com/is/image/MCY/16079425 ")</f>
        <v xml:space="preserve">http://slimages.macys.com/is/image/MCY/16079425 </v>
      </c>
    </row>
    <row r="621" spans="1:12" ht="24.75" x14ac:dyDescent="0.25">
      <c r="A621" s="6" t="s">
        <v>170</v>
      </c>
      <c r="B621" s="3" t="s">
        <v>171</v>
      </c>
      <c r="C621" s="4">
        <v>1</v>
      </c>
      <c r="D621" s="5">
        <v>23.34</v>
      </c>
      <c r="E621" s="4" t="s">
        <v>172</v>
      </c>
      <c r="F621" s="3" t="s">
        <v>5532</v>
      </c>
      <c r="G621" s="7" t="s">
        <v>5898</v>
      </c>
      <c r="H621" s="3" t="s">
        <v>6280</v>
      </c>
      <c r="I621" s="3" t="s">
        <v>4330</v>
      </c>
      <c r="J621" s="3" t="s">
        <v>5536</v>
      </c>
      <c r="K621" s="3" t="s">
        <v>4157</v>
      </c>
      <c r="L621" s="8" t="str">
        <f>HYPERLINK("http://slimages.macys.com/is/image/MCY/15238974 ")</f>
        <v xml:space="preserve">http://slimages.macys.com/is/image/MCY/15238974 </v>
      </c>
    </row>
    <row r="622" spans="1:12" ht="24.75" x14ac:dyDescent="0.25">
      <c r="A622" s="6" t="s">
        <v>173</v>
      </c>
      <c r="B622" s="3" t="s">
        <v>161</v>
      </c>
      <c r="C622" s="4">
        <v>1</v>
      </c>
      <c r="D622" s="5">
        <v>23.34</v>
      </c>
      <c r="E622" s="4" t="s">
        <v>162</v>
      </c>
      <c r="F622" s="3" t="s">
        <v>5754</v>
      </c>
      <c r="G622" s="7" t="s">
        <v>5898</v>
      </c>
      <c r="H622" s="3" t="s">
        <v>6280</v>
      </c>
      <c r="I622" s="3" t="s">
        <v>4330</v>
      </c>
      <c r="J622" s="3" t="s">
        <v>5536</v>
      </c>
      <c r="K622" s="3" t="s">
        <v>6338</v>
      </c>
      <c r="L622" s="8" t="str">
        <f>HYPERLINK("http://slimages.macys.com/is/image/MCY/15882690 ")</f>
        <v xml:space="preserve">http://slimages.macys.com/is/image/MCY/15882690 </v>
      </c>
    </row>
    <row r="623" spans="1:12" ht="24.75" x14ac:dyDescent="0.25">
      <c r="A623" s="6" t="s">
        <v>2465</v>
      </c>
      <c r="B623" s="3" t="s">
        <v>2463</v>
      </c>
      <c r="C623" s="4">
        <v>1</v>
      </c>
      <c r="D623" s="5">
        <v>23.34</v>
      </c>
      <c r="E623" s="4" t="s">
        <v>2464</v>
      </c>
      <c r="F623" s="3" t="s">
        <v>5532</v>
      </c>
      <c r="G623" s="7" t="s">
        <v>5898</v>
      </c>
      <c r="H623" s="3" t="s">
        <v>6280</v>
      </c>
      <c r="I623" s="3" t="s">
        <v>4330</v>
      </c>
      <c r="J623" s="3" t="s">
        <v>5536</v>
      </c>
      <c r="K623" s="3" t="s">
        <v>6316</v>
      </c>
      <c r="L623" s="8" t="str">
        <f>HYPERLINK("http://slimages.macys.com/is/image/MCY/15196957 ")</f>
        <v xml:space="preserve">http://slimages.macys.com/is/image/MCY/15196957 </v>
      </c>
    </row>
    <row r="624" spans="1:12" ht="24.75" x14ac:dyDescent="0.25">
      <c r="A624" s="6" t="s">
        <v>174</v>
      </c>
      <c r="B624" s="3" t="s">
        <v>175</v>
      </c>
      <c r="C624" s="4">
        <v>1</v>
      </c>
      <c r="D624" s="5">
        <v>23.34</v>
      </c>
      <c r="E624" s="4" t="s">
        <v>176</v>
      </c>
      <c r="F624" s="3" t="s">
        <v>5532</v>
      </c>
      <c r="G624" s="7" t="s">
        <v>5898</v>
      </c>
      <c r="H624" s="3" t="s">
        <v>6280</v>
      </c>
      <c r="I624" s="3" t="s">
        <v>4330</v>
      </c>
      <c r="J624" s="3" t="s">
        <v>5536</v>
      </c>
      <c r="K624" s="3" t="s">
        <v>159</v>
      </c>
      <c r="L624" s="8" t="str">
        <f>HYPERLINK("http://slimages.macys.com/is/image/MCY/15237844 ")</f>
        <v xml:space="preserve">http://slimages.macys.com/is/image/MCY/15237844 </v>
      </c>
    </row>
    <row r="625" spans="1:12" ht="24.75" x14ac:dyDescent="0.25">
      <c r="A625" s="6" t="s">
        <v>177</v>
      </c>
      <c r="B625" s="3" t="s">
        <v>178</v>
      </c>
      <c r="C625" s="4">
        <v>1</v>
      </c>
      <c r="D625" s="5">
        <v>23.34</v>
      </c>
      <c r="E625" s="4" t="s">
        <v>179</v>
      </c>
      <c r="F625" s="3" t="s">
        <v>5754</v>
      </c>
      <c r="G625" s="7" t="s">
        <v>5898</v>
      </c>
      <c r="H625" s="3" t="s">
        <v>6280</v>
      </c>
      <c r="I625" s="3" t="s">
        <v>4330</v>
      </c>
      <c r="J625" s="3" t="s">
        <v>5536</v>
      </c>
      <c r="K625" s="3" t="s">
        <v>180</v>
      </c>
      <c r="L625" s="8" t="str">
        <f>HYPERLINK("http://slimages.macys.com/is/image/MCY/15239075 ")</f>
        <v xml:space="preserve">http://slimages.macys.com/is/image/MCY/15239075 </v>
      </c>
    </row>
    <row r="626" spans="1:12" ht="24.75" x14ac:dyDescent="0.25">
      <c r="A626" s="6" t="s">
        <v>181</v>
      </c>
      <c r="B626" s="3" t="s">
        <v>2460</v>
      </c>
      <c r="C626" s="4">
        <v>1</v>
      </c>
      <c r="D626" s="5">
        <v>23</v>
      </c>
      <c r="E626" s="4" t="s">
        <v>2461</v>
      </c>
      <c r="F626" s="3" t="s">
        <v>5745</v>
      </c>
      <c r="G626" s="7" t="s">
        <v>5766</v>
      </c>
      <c r="H626" s="3" t="s">
        <v>5825</v>
      </c>
      <c r="I626" s="3" t="s">
        <v>5826</v>
      </c>
      <c r="J626" s="3" t="s">
        <v>5536</v>
      </c>
      <c r="K626" s="3" t="s">
        <v>5594</v>
      </c>
      <c r="L626" s="8" t="str">
        <f>HYPERLINK("http://slimages.macys.com/is/image/MCY/13401361 ")</f>
        <v xml:space="preserve">http://slimages.macys.com/is/image/MCY/13401361 </v>
      </c>
    </row>
    <row r="627" spans="1:12" ht="24.75" x14ac:dyDescent="0.25">
      <c r="A627" s="6" t="s">
        <v>182</v>
      </c>
      <c r="B627" s="3" t="s">
        <v>2460</v>
      </c>
      <c r="C627" s="4">
        <v>1</v>
      </c>
      <c r="D627" s="5">
        <v>23</v>
      </c>
      <c r="E627" s="4" t="s">
        <v>2461</v>
      </c>
      <c r="F627" s="3" t="s">
        <v>5745</v>
      </c>
      <c r="G627" s="7" t="s">
        <v>5762</v>
      </c>
      <c r="H627" s="3" t="s">
        <v>5825</v>
      </c>
      <c r="I627" s="3" t="s">
        <v>5826</v>
      </c>
      <c r="J627" s="3" t="s">
        <v>5536</v>
      </c>
      <c r="K627" s="3" t="s">
        <v>5594</v>
      </c>
      <c r="L627" s="8" t="str">
        <f>HYPERLINK("http://slimages.macys.com/is/image/MCY/13401361 ")</f>
        <v xml:space="preserve">http://slimages.macys.com/is/image/MCY/13401361 </v>
      </c>
    </row>
    <row r="628" spans="1:12" ht="24.75" x14ac:dyDescent="0.25">
      <c r="A628" s="6" t="s">
        <v>183</v>
      </c>
      <c r="B628" s="3" t="s">
        <v>184</v>
      </c>
      <c r="C628" s="4">
        <v>2</v>
      </c>
      <c r="D628" s="5">
        <v>49.98</v>
      </c>
      <c r="E628" s="4" t="s">
        <v>185</v>
      </c>
      <c r="F628" s="3" t="s">
        <v>5540</v>
      </c>
      <c r="G628" s="7" t="s">
        <v>5560</v>
      </c>
      <c r="H628" s="3" t="s">
        <v>6627</v>
      </c>
      <c r="I628" s="3" t="s">
        <v>6628</v>
      </c>
      <c r="J628" s="3" t="s">
        <v>5536</v>
      </c>
      <c r="K628" s="3" t="s">
        <v>186</v>
      </c>
      <c r="L628" s="8" t="str">
        <f>HYPERLINK("http://slimages.macys.com/is/image/MCY/11851009 ")</f>
        <v xml:space="preserve">http://slimages.macys.com/is/image/MCY/11851009 </v>
      </c>
    </row>
    <row r="629" spans="1:12" ht="24.75" x14ac:dyDescent="0.25">
      <c r="A629" s="6" t="s">
        <v>187</v>
      </c>
      <c r="B629" s="3" t="s">
        <v>184</v>
      </c>
      <c r="C629" s="4">
        <v>4</v>
      </c>
      <c r="D629" s="5">
        <v>99.96</v>
      </c>
      <c r="E629" s="4" t="s">
        <v>185</v>
      </c>
      <c r="F629" s="3" t="s">
        <v>5540</v>
      </c>
      <c r="G629" s="7" t="s">
        <v>5596</v>
      </c>
      <c r="H629" s="3" t="s">
        <v>6627</v>
      </c>
      <c r="I629" s="3" t="s">
        <v>6628</v>
      </c>
      <c r="J629" s="3" t="s">
        <v>5536</v>
      </c>
      <c r="K629" s="3" t="s">
        <v>186</v>
      </c>
      <c r="L629" s="8" t="str">
        <f>HYPERLINK("http://slimages.macys.com/is/image/MCY/11851009 ")</f>
        <v xml:space="preserve">http://slimages.macys.com/is/image/MCY/11851009 </v>
      </c>
    </row>
    <row r="630" spans="1:12" ht="24.75" x14ac:dyDescent="0.25">
      <c r="A630" s="6" t="s">
        <v>188</v>
      </c>
      <c r="B630" s="3" t="s">
        <v>184</v>
      </c>
      <c r="C630" s="4">
        <v>1</v>
      </c>
      <c r="D630" s="5">
        <v>24.99</v>
      </c>
      <c r="E630" s="4" t="s">
        <v>185</v>
      </c>
      <c r="F630" s="3" t="s">
        <v>5540</v>
      </c>
      <c r="G630" s="7" t="s">
        <v>5562</v>
      </c>
      <c r="H630" s="3" t="s">
        <v>6627</v>
      </c>
      <c r="I630" s="3" t="s">
        <v>6628</v>
      </c>
      <c r="J630" s="3" t="s">
        <v>5536</v>
      </c>
      <c r="K630" s="3" t="s">
        <v>186</v>
      </c>
      <c r="L630" s="8" t="str">
        <f>HYPERLINK("http://slimages.macys.com/is/image/MCY/11851009 ")</f>
        <v xml:space="preserve">http://slimages.macys.com/is/image/MCY/11851009 </v>
      </c>
    </row>
    <row r="631" spans="1:12" ht="24.75" x14ac:dyDescent="0.25">
      <c r="A631" s="6" t="s">
        <v>189</v>
      </c>
      <c r="B631" s="3" t="s">
        <v>184</v>
      </c>
      <c r="C631" s="4">
        <v>4</v>
      </c>
      <c r="D631" s="5">
        <v>99.96</v>
      </c>
      <c r="E631" s="4" t="s">
        <v>185</v>
      </c>
      <c r="F631" s="3" t="s">
        <v>5540</v>
      </c>
      <c r="G631" s="7" t="s">
        <v>5533</v>
      </c>
      <c r="H631" s="3" t="s">
        <v>6627</v>
      </c>
      <c r="I631" s="3" t="s">
        <v>6628</v>
      </c>
      <c r="J631" s="3" t="s">
        <v>5536</v>
      </c>
      <c r="K631" s="3" t="s">
        <v>186</v>
      </c>
      <c r="L631" s="8" t="str">
        <f>HYPERLINK("http://slimages.macys.com/is/image/MCY/11851009 ")</f>
        <v xml:space="preserve">http://slimages.macys.com/is/image/MCY/11851009 </v>
      </c>
    </row>
    <row r="632" spans="1:12" ht="24.75" x14ac:dyDescent="0.25">
      <c r="A632" s="6" t="s">
        <v>2456</v>
      </c>
      <c r="B632" s="3" t="s">
        <v>2457</v>
      </c>
      <c r="C632" s="4">
        <v>1</v>
      </c>
      <c r="D632" s="5">
        <v>23.34</v>
      </c>
      <c r="E632" s="4" t="s">
        <v>2458</v>
      </c>
      <c r="F632" s="3" t="s">
        <v>6075</v>
      </c>
      <c r="G632" s="7" t="s">
        <v>5898</v>
      </c>
      <c r="H632" s="3" t="s">
        <v>6280</v>
      </c>
      <c r="I632" s="3" t="s">
        <v>4330</v>
      </c>
      <c r="J632" s="3" t="s">
        <v>5536</v>
      </c>
      <c r="K632" s="3" t="s">
        <v>6316</v>
      </c>
      <c r="L632" s="8" t="str">
        <f>HYPERLINK("http://slimages.macys.com/is/image/MCY/15883417 ")</f>
        <v xml:space="preserve">http://slimages.macys.com/is/image/MCY/15883417 </v>
      </c>
    </row>
    <row r="633" spans="1:12" ht="24.75" x14ac:dyDescent="0.25">
      <c r="A633" s="6" t="s">
        <v>190</v>
      </c>
      <c r="B633" s="3" t="s">
        <v>191</v>
      </c>
      <c r="C633" s="4">
        <v>1</v>
      </c>
      <c r="D633" s="5">
        <v>23.34</v>
      </c>
      <c r="E633" s="4" t="s">
        <v>192</v>
      </c>
      <c r="F633" s="3" t="s">
        <v>5540</v>
      </c>
      <c r="G633" s="7" t="s">
        <v>5898</v>
      </c>
      <c r="H633" s="3" t="s">
        <v>6280</v>
      </c>
      <c r="I633" s="3" t="s">
        <v>4330</v>
      </c>
      <c r="J633" s="3" t="s">
        <v>5536</v>
      </c>
      <c r="K633" s="3" t="s">
        <v>4157</v>
      </c>
      <c r="L633" s="8" t="str">
        <f>HYPERLINK("http://slimages.macys.com/is/image/MCY/11283848 ")</f>
        <v xml:space="preserve">http://slimages.macys.com/is/image/MCY/11283848 </v>
      </c>
    </row>
    <row r="634" spans="1:12" ht="24.75" x14ac:dyDescent="0.25">
      <c r="A634" s="6" t="s">
        <v>193</v>
      </c>
      <c r="B634" s="3" t="s">
        <v>2457</v>
      </c>
      <c r="C634" s="4">
        <v>3</v>
      </c>
      <c r="D634" s="5">
        <v>70.02</v>
      </c>
      <c r="E634" s="4" t="s">
        <v>2458</v>
      </c>
      <c r="F634" s="3" t="s">
        <v>5754</v>
      </c>
      <c r="G634" s="7" t="s">
        <v>5898</v>
      </c>
      <c r="H634" s="3" t="s">
        <v>6280</v>
      </c>
      <c r="I634" s="3" t="s">
        <v>4330</v>
      </c>
      <c r="J634" s="3" t="s">
        <v>5536</v>
      </c>
      <c r="K634" s="3" t="s">
        <v>6316</v>
      </c>
      <c r="L634" s="8" t="str">
        <f>HYPERLINK("http://slimages.macys.com/is/image/MCY/15883417 ")</f>
        <v xml:space="preserve">http://slimages.macys.com/is/image/MCY/15883417 </v>
      </c>
    </row>
    <row r="635" spans="1:12" ht="24.75" x14ac:dyDescent="0.25">
      <c r="A635" s="6" t="s">
        <v>194</v>
      </c>
      <c r="B635" s="3" t="s">
        <v>4328</v>
      </c>
      <c r="C635" s="4">
        <v>1</v>
      </c>
      <c r="D635" s="5">
        <v>23.34</v>
      </c>
      <c r="E635" s="4" t="s">
        <v>4329</v>
      </c>
      <c r="F635" s="3" t="s">
        <v>5754</v>
      </c>
      <c r="G635" s="7" t="s">
        <v>5898</v>
      </c>
      <c r="H635" s="3" t="s">
        <v>6280</v>
      </c>
      <c r="I635" s="3" t="s">
        <v>4330</v>
      </c>
      <c r="J635" s="3" t="s">
        <v>5536</v>
      </c>
      <c r="K635" s="3" t="s">
        <v>6338</v>
      </c>
      <c r="L635" s="8" t="str">
        <f>HYPERLINK("http://slimages.macys.com/is/image/MCY/15883535 ")</f>
        <v xml:space="preserve">http://slimages.macys.com/is/image/MCY/15883535 </v>
      </c>
    </row>
    <row r="636" spans="1:12" ht="24.75" x14ac:dyDescent="0.25">
      <c r="A636" s="6" t="s">
        <v>195</v>
      </c>
      <c r="B636" s="3" t="s">
        <v>178</v>
      </c>
      <c r="C636" s="4">
        <v>1</v>
      </c>
      <c r="D636" s="5">
        <v>23.34</v>
      </c>
      <c r="E636" s="4" t="s">
        <v>179</v>
      </c>
      <c r="F636" s="3" t="s">
        <v>5540</v>
      </c>
      <c r="G636" s="7" t="s">
        <v>5898</v>
      </c>
      <c r="H636" s="3" t="s">
        <v>6280</v>
      </c>
      <c r="I636" s="3" t="s">
        <v>4330</v>
      </c>
      <c r="J636" s="3" t="s">
        <v>5536</v>
      </c>
      <c r="K636" s="3" t="s">
        <v>180</v>
      </c>
      <c r="L636" s="8" t="str">
        <f>HYPERLINK("http://slimages.macys.com/is/image/MCY/15239075 ")</f>
        <v xml:space="preserve">http://slimages.macys.com/is/image/MCY/15239075 </v>
      </c>
    </row>
    <row r="637" spans="1:12" ht="24.75" x14ac:dyDescent="0.25">
      <c r="A637" s="6" t="s">
        <v>196</v>
      </c>
      <c r="B637" s="3" t="s">
        <v>2475</v>
      </c>
      <c r="C637" s="4">
        <v>1</v>
      </c>
      <c r="D637" s="5">
        <v>23</v>
      </c>
      <c r="E637" s="4">
        <v>100005305</v>
      </c>
      <c r="F637" s="3" t="s">
        <v>5532</v>
      </c>
      <c r="G637" s="7" t="s">
        <v>5760</v>
      </c>
      <c r="H637" s="3" t="s">
        <v>5825</v>
      </c>
      <c r="I637" s="3" t="s">
        <v>5826</v>
      </c>
      <c r="J637" s="3" t="s">
        <v>5536</v>
      </c>
      <c r="K637" s="3" t="s">
        <v>5594</v>
      </c>
      <c r="L637" s="8" t="str">
        <f>HYPERLINK("http://slimages.macys.com/is/image/MCY/9228910 ")</f>
        <v xml:space="preserve">http://slimages.macys.com/is/image/MCY/9228910 </v>
      </c>
    </row>
    <row r="638" spans="1:12" x14ac:dyDescent="0.25">
      <c r="A638" s="6" t="s">
        <v>197</v>
      </c>
      <c r="B638" s="3" t="s">
        <v>3261</v>
      </c>
      <c r="C638" s="4">
        <v>1</v>
      </c>
      <c r="D638" s="5">
        <v>29.99</v>
      </c>
      <c r="E638" s="4" t="s">
        <v>3262</v>
      </c>
      <c r="F638" s="3" t="s">
        <v>7189</v>
      </c>
      <c r="G638" s="7" t="s">
        <v>5596</v>
      </c>
      <c r="H638" s="3" t="s">
        <v>6065</v>
      </c>
      <c r="I638" s="3" t="s">
        <v>6066</v>
      </c>
      <c r="J638" s="3" t="s">
        <v>5536</v>
      </c>
      <c r="K638" s="3" t="s">
        <v>3263</v>
      </c>
      <c r="L638" s="8" t="str">
        <f>HYPERLINK("http://slimages.macys.com/is/image/MCY/13894131 ")</f>
        <v xml:space="preserve">http://slimages.macys.com/is/image/MCY/13894131 </v>
      </c>
    </row>
    <row r="639" spans="1:12" x14ac:dyDescent="0.25">
      <c r="A639" s="6" t="s">
        <v>198</v>
      </c>
      <c r="B639" s="3" t="s">
        <v>3261</v>
      </c>
      <c r="C639" s="4">
        <v>1</v>
      </c>
      <c r="D639" s="5">
        <v>29.99</v>
      </c>
      <c r="E639" s="4" t="s">
        <v>3262</v>
      </c>
      <c r="F639" s="3" t="s">
        <v>6075</v>
      </c>
      <c r="G639" s="7" t="s">
        <v>5562</v>
      </c>
      <c r="H639" s="3" t="s">
        <v>6065</v>
      </c>
      <c r="I639" s="3" t="s">
        <v>6066</v>
      </c>
      <c r="J639" s="3" t="s">
        <v>5536</v>
      </c>
      <c r="K639" s="3" t="s">
        <v>3263</v>
      </c>
      <c r="L639" s="8" t="str">
        <f>HYPERLINK("http://slimages.macys.com/is/image/MCY/13894130 ")</f>
        <v xml:space="preserve">http://slimages.macys.com/is/image/MCY/13894130 </v>
      </c>
    </row>
    <row r="640" spans="1:12" x14ac:dyDescent="0.25">
      <c r="A640" s="6" t="s">
        <v>199</v>
      </c>
      <c r="B640" s="3" t="s">
        <v>3261</v>
      </c>
      <c r="C640" s="4">
        <v>2</v>
      </c>
      <c r="D640" s="5">
        <v>59.98</v>
      </c>
      <c r="E640" s="4" t="s">
        <v>3262</v>
      </c>
      <c r="F640" s="3" t="s">
        <v>6075</v>
      </c>
      <c r="G640" s="7" t="s">
        <v>5598</v>
      </c>
      <c r="H640" s="3" t="s">
        <v>6065</v>
      </c>
      <c r="I640" s="3" t="s">
        <v>6066</v>
      </c>
      <c r="J640" s="3" t="s">
        <v>5536</v>
      </c>
      <c r="K640" s="3" t="s">
        <v>3263</v>
      </c>
      <c r="L640" s="8" t="str">
        <f>HYPERLINK("http://slimages.macys.com/is/image/MCY/13894130 ")</f>
        <v xml:space="preserve">http://slimages.macys.com/is/image/MCY/13894130 </v>
      </c>
    </row>
    <row r="641" spans="1:12" ht="24.75" x14ac:dyDescent="0.25">
      <c r="A641" s="6" t="s">
        <v>200</v>
      </c>
      <c r="B641" s="3" t="s">
        <v>201</v>
      </c>
      <c r="C641" s="4">
        <v>1</v>
      </c>
      <c r="D641" s="5">
        <v>18</v>
      </c>
      <c r="E641" s="4" t="s">
        <v>202</v>
      </c>
      <c r="F641" s="3" t="s">
        <v>5578</v>
      </c>
      <c r="G641" s="7" t="s">
        <v>5560</v>
      </c>
      <c r="H641" s="3" t="s">
        <v>5794</v>
      </c>
      <c r="I641" s="3" t="s">
        <v>3957</v>
      </c>
      <c r="J641" s="3" t="s">
        <v>5536</v>
      </c>
      <c r="K641" s="3" t="s">
        <v>5558</v>
      </c>
      <c r="L641" s="8" t="str">
        <f>HYPERLINK("http://slimages.macys.com/is/image/MCY/9897225 ")</f>
        <v xml:space="preserve">http://slimages.macys.com/is/image/MCY/9897225 </v>
      </c>
    </row>
    <row r="642" spans="1:12" x14ac:dyDescent="0.25">
      <c r="A642" s="6" t="s">
        <v>203</v>
      </c>
      <c r="B642" s="3" t="s">
        <v>3266</v>
      </c>
      <c r="C642" s="4">
        <v>1</v>
      </c>
      <c r="D642" s="5">
        <v>39.5</v>
      </c>
      <c r="E642" s="4">
        <v>100081902</v>
      </c>
      <c r="F642" s="3" t="s">
        <v>5578</v>
      </c>
      <c r="G642" s="7" t="s">
        <v>5533</v>
      </c>
      <c r="H642" s="3" t="s">
        <v>5585</v>
      </c>
      <c r="I642" s="3" t="s">
        <v>5734</v>
      </c>
      <c r="J642" s="3" t="s">
        <v>5536</v>
      </c>
      <c r="K642" s="3" t="s">
        <v>5574</v>
      </c>
      <c r="L642" s="8" t="str">
        <f t="shared" ref="L642:L651" si="6">HYPERLINK("http://slimages.macys.com/is/image/MCY/15667267 ")</f>
        <v xml:space="preserve">http://slimages.macys.com/is/image/MCY/15667267 </v>
      </c>
    </row>
    <row r="643" spans="1:12" x14ac:dyDescent="0.25">
      <c r="A643" s="6" t="s">
        <v>204</v>
      </c>
      <c r="B643" s="3" t="s">
        <v>3266</v>
      </c>
      <c r="C643" s="4">
        <v>1</v>
      </c>
      <c r="D643" s="5">
        <v>39.5</v>
      </c>
      <c r="E643" s="4">
        <v>100081902</v>
      </c>
      <c r="F643" s="3" t="s">
        <v>6075</v>
      </c>
      <c r="G643" s="7" t="s">
        <v>5533</v>
      </c>
      <c r="H643" s="3" t="s">
        <v>5585</v>
      </c>
      <c r="I643" s="3" t="s">
        <v>5734</v>
      </c>
      <c r="J643" s="3" t="s">
        <v>5536</v>
      </c>
      <c r="K643" s="3" t="s">
        <v>5574</v>
      </c>
      <c r="L643" s="8" t="str">
        <f t="shared" si="6"/>
        <v xml:space="preserve">http://slimages.macys.com/is/image/MCY/15667267 </v>
      </c>
    </row>
    <row r="644" spans="1:12" x14ac:dyDescent="0.25">
      <c r="A644" s="6" t="s">
        <v>3265</v>
      </c>
      <c r="B644" s="3" t="s">
        <v>3266</v>
      </c>
      <c r="C644" s="4">
        <v>2</v>
      </c>
      <c r="D644" s="5">
        <v>79</v>
      </c>
      <c r="E644" s="4">
        <v>100081902</v>
      </c>
      <c r="F644" s="3" t="s">
        <v>5578</v>
      </c>
      <c r="G644" s="7" t="s">
        <v>5596</v>
      </c>
      <c r="H644" s="3" t="s">
        <v>5585</v>
      </c>
      <c r="I644" s="3" t="s">
        <v>5734</v>
      </c>
      <c r="J644" s="3" t="s">
        <v>5536</v>
      </c>
      <c r="K644" s="3" t="s">
        <v>5574</v>
      </c>
      <c r="L644" s="8" t="str">
        <f t="shared" si="6"/>
        <v xml:space="preserve">http://slimages.macys.com/is/image/MCY/15667267 </v>
      </c>
    </row>
    <row r="645" spans="1:12" x14ac:dyDescent="0.25">
      <c r="A645" s="6" t="s">
        <v>205</v>
      </c>
      <c r="B645" s="3" t="s">
        <v>3266</v>
      </c>
      <c r="C645" s="4">
        <v>1</v>
      </c>
      <c r="D645" s="5">
        <v>39.5</v>
      </c>
      <c r="E645" s="4">
        <v>100081902</v>
      </c>
      <c r="F645" s="3" t="s">
        <v>5578</v>
      </c>
      <c r="G645" s="7" t="s">
        <v>5562</v>
      </c>
      <c r="H645" s="3" t="s">
        <v>5585</v>
      </c>
      <c r="I645" s="3" t="s">
        <v>5734</v>
      </c>
      <c r="J645" s="3" t="s">
        <v>5536</v>
      </c>
      <c r="K645" s="3" t="s">
        <v>5574</v>
      </c>
      <c r="L645" s="8" t="str">
        <f t="shared" si="6"/>
        <v xml:space="preserve">http://slimages.macys.com/is/image/MCY/15667267 </v>
      </c>
    </row>
    <row r="646" spans="1:12" x14ac:dyDescent="0.25">
      <c r="A646" s="6" t="s">
        <v>206</v>
      </c>
      <c r="B646" s="3" t="s">
        <v>3266</v>
      </c>
      <c r="C646" s="4">
        <v>1</v>
      </c>
      <c r="D646" s="5">
        <v>39.5</v>
      </c>
      <c r="E646" s="4">
        <v>100081902</v>
      </c>
      <c r="F646" s="3" t="s">
        <v>6075</v>
      </c>
      <c r="G646" s="7" t="s">
        <v>5560</v>
      </c>
      <c r="H646" s="3" t="s">
        <v>5585</v>
      </c>
      <c r="I646" s="3" t="s">
        <v>5734</v>
      </c>
      <c r="J646" s="3" t="s">
        <v>5536</v>
      </c>
      <c r="K646" s="3" t="s">
        <v>5574</v>
      </c>
      <c r="L646" s="8" t="str">
        <f t="shared" si="6"/>
        <v xml:space="preserve">http://slimages.macys.com/is/image/MCY/15667267 </v>
      </c>
    </row>
    <row r="647" spans="1:12" ht="24.75" x14ac:dyDescent="0.25">
      <c r="A647" s="6" t="s">
        <v>207</v>
      </c>
      <c r="B647" s="3" t="s">
        <v>3266</v>
      </c>
      <c r="C647" s="4">
        <v>1</v>
      </c>
      <c r="D647" s="5">
        <v>39.5</v>
      </c>
      <c r="E647" s="4">
        <v>100081902</v>
      </c>
      <c r="F647" s="3" t="s">
        <v>5578</v>
      </c>
      <c r="G647" s="7" t="s">
        <v>5733</v>
      </c>
      <c r="H647" s="3" t="s">
        <v>5585</v>
      </c>
      <c r="I647" s="3" t="s">
        <v>5734</v>
      </c>
      <c r="J647" s="3" t="s">
        <v>5536</v>
      </c>
      <c r="K647" s="3" t="s">
        <v>5574</v>
      </c>
      <c r="L647" s="8" t="str">
        <f t="shared" si="6"/>
        <v xml:space="preserve">http://slimages.macys.com/is/image/MCY/15667267 </v>
      </c>
    </row>
    <row r="648" spans="1:12" x14ac:dyDescent="0.25">
      <c r="A648" s="6" t="s">
        <v>208</v>
      </c>
      <c r="B648" s="3" t="s">
        <v>3266</v>
      </c>
      <c r="C648" s="4">
        <v>1</v>
      </c>
      <c r="D648" s="5">
        <v>39.5</v>
      </c>
      <c r="E648" s="4">
        <v>100081902</v>
      </c>
      <c r="F648" s="3" t="s">
        <v>6075</v>
      </c>
      <c r="G648" s="7" t="s">
        <v>5582</v>
      </c>
      <c r="H648" s="3" t="s">
        <v>5585</v>
      </c>
      <c r="I648" s="3" t="s">
        <v>5734</v>
      </c>
      <c r="J648" s="3" t="s">
        <v>5536</v>
      </c>
      <c r="K648" s="3" t="s">
        <v>5574</v>
      </c>
      <c r="L648" s="8" t="str">
        <f t="shared" si="6"/>
        <v xml:space="preserve">http://slimages.macys.com/is/image/MCY/15667267 </v>
      </c>
    </row>
    <row r="649" spans="1:12" x14ac:dyDescent="0.25">
      <c r="A649" s="6" t="s">
        <v>209</v>
      </c>
      <c r="B649" s="3" t="s">
        <v>3266</v>
      </c>
      <c r="C649" s="4">
        <v>1</v>
      </c>
      <c r="D649" s="5">
        <v>39.5</v>
      </c>
      <c r="E649" s="4">
        <v>100081902</v>
      </c>
      <c r="F649" s="3" t="s">
        <v>5578</v>
      </c>
      <c r="G649" s="7" t="s">
        <v>5582</v>
      </c>
      <c r="H649" s="3" t="s">
        <v>5585</v>
      </c>
      <c r="I649" s="3" t="s">
        <v>5734</v>
      </c>
      <c r="J649" s="3" t="s">
        <v>5536</v>
      </c>
      <c r="K649" s="3" t="s">
        <v>5574</v>
      </c>
      <c r="L649" s="8" t="str">
        <f t="shared" si="6"/>
        <v xml:space="preserve">http://slimages.macys.com/is/image/MCY/15667267 </v>
      </c>
    </row>
    <row r="650" spans="1:12" x14ac:dyDescent="0.25">
      <c r="A650" s="6" t="s">
        <v>210</v>
      </c>
      <c r="B650" s="3" t="s">
        <v>3266</v>
      </c>
      <c r="C650" s="4">
        <v>1</v>
      </c>
      <c r="D650" s="5">
        <v>39.5</v>
      </c>
      <c r="E650" s="4">
        <v>100081902</v>
      </c>
      <c r="F650" s="3" t="s">
        <v>6075</v>
      </c>
      <c r="G650" s="7" t="s">
        <v>5598</v>
      </c>
      <c r="H650" s="3" t="s">
        <v>5585</v>
      </c>
      <c r="I650" s="3" t="s">
        <v>5734</v>
      </c>
      <c r="J650" s="3" t="s">
        <v>5536</v>
      </c>
      <c r="K650" s="3" t="s">
        <v>5574</v>
      </c>
      <c r="L650" s="8" t="str">
        <f t="shared" si="6"/>
        <v xml:space="preserve">http://slimages.macys.com/is/image/MCY/15667267 </v>
      </c>
    </row>
    <row r="651" spans="1:12" ht="24.75" x14ac:dyDescent="0.25">
      <c r="A651" s="6" t="s">
        <v>211</v>
      </c>
      <c r="B651" s="3" t="s">
        <v>3266</v>
      </c>
      <c r="C651" s="4">
        <v>1</v>
      </c>
      <c r="D651" s="5">
        <v>39.5</v>
      </c>
      <c r="E651" s="4">
        <v>100081902</v>
      </c>
      <c r="F651" s="3" t="s">
        <v>6075</v>
      </c>
      <c r="G651" s="7" t="s">
        <v>5733</v>
      </c>
      <c r="H651" s="3" t="s">
        <v>5585</v>
      </c>
      <c r="I651" s="3" t="s">
        <v>5734</v>
      </c>
      <c r="J651" s="3" t="s">
        <v>5536</v>
      </c>
      <c r="K651" s="3" t="s">
        <v>5574</v>
      </c>
      <c r="L651" s="8" t="str">
        <f t="shared" si="6"/>
        <v xml:space="preserve">http://slimages.macys.com/is/image/MCY/15667267 </v>
      </c>
    </row>
    <row r="652" spans="1:12" x14ac:dyDescent="0.25">
      <c r="A652" s="6" t="s">
        <v>212</v>
      </c>
      <c r="B652" s="3" t="s">
        <v>3268</v>
      </c>
      <c r="C652" s="4">
        <v>1</v>
      </c>
      <c r="D652" s="5">
        <v>29.5</v>
      </c>
      <c r="E652" s="4">
        <v>100084827</v>
      </c>
      <c r="F652" s="3" t="s">
        <v>6075</v>
      </c>
      <c r="G652" s="7" t="s">
        <v>5562</v>
      </c>
      <c r="H652" s="3" t="s">
        <v>5585</v>
      </c>
      <c r="I652" s="3" t="s">
        <v>5734</v>
      </c>
      <c r="J652" s="3" t="s">
        <v>5536</v>
      </c>
      <c r="K652" s="3" t="s">
        <v>5594</v>
      </c>
      <c r="L652" s="8" t="str">
        <f>HYPERLINK("http://slimages.macys.com/is/image/MCY/15889061 ")</f>
        <v xml:space="preserve">http://slimages.macys.com/is/image/MCY/15889061 </v>
      </c>
    </row>
    <row r="653" spans="1:12" ht="24.75" x14ac:dyDescent="0.25">
      <c r="A653" s="6" t="s">
        <v>213</v>
      </c>
      <c r="B653" s="3" t="s">
        <v>214</v>
      </c>
      <c r="C653" s="4">
        <v>1</v>
      </c>
      <c r="D653" s="5">
        <v>20</v>
      </c>
      <c r="E653" s="4">
        <v>5146534</v>
      </c>
      <c r="F653" s="3" t="s">
        <v>5540</v>
      </c>
      <c r="G653" s="7" t="s">
        <v>5898</v>
      </c>
      <c r="H653" s="3" t="s">
        <v>4333</v>
      </c>
      <c r="I653" s="3" t="s">
        <v>4334</v>
      </c>
      <c r="J653" s="3" t="s">
        <v>5536</v>
      </c>
      <c r="K653" s="3" t="s">
        <v>5984</v>
      </c>
      <c r="L653" s="8" t="str">
        <f>HYPERLINK("http://slimages.macys.com/is/image/MCY/10414049 ")</f>
        <v xml:space="preserve">http://slimages.macys.com/is/image/MCY/10414049 </v>
      </c>
    </row>
    <row r="654" spans="1:12" ht="24.75" x14ac:dyDescent="0.25">
      <c r="A654" s="6" t="s">
        <v>215</v>
      </c>
      <c r="B654" s="3" t="s">
        <v>216</v>
      </c>
      <c r="C654" s="4">
        <v>1</v>
      </c>
      <c r="D654" s="5">
        <v>23</v>
      </c>
      <c r="E654" s="4">
        <v>100013991</v>
      </c>
      <c r="F654" s="3" t="s">
        <v>5610</v>
      </c>
      <c r="G654" s="7" t="s">
        <v>6476</v>
      </c>
      <c r="H654" s="3" t="s">
        <v>5825</v>
      </c>
      <c r="I654" s="3" t="s">
        <v>5826</v>
      </c>
      <c r="J654" s="3" t="s">
        <v>5536</v>
      </c>
      <c r="K654" s="3" t="s">
        <v>5594</v>
      </c>
      <c r="L654" s="8" t="str">
        <f>HYPERLINK("http://slimages.macys.com/is/image/MCY/9470874 ")</f>
        <v xml:space="preserve">http://slimages.macys.com/is/image/MCY/9470874 </v>
      </c>
    </row>
    <row r="655" spans="1:12" x14ac:dyDescent="0.25">
      <c r="A655" s="6" t="s">
        <v>217</v>
      </c>
      <c r="B655" s="3" t="s">
        <v>218</v>
      </c>
      <c r="C655" s="4">
        <v>1</v>
      </c>
      <c r="D655" s="5">
        <v>29.99</v>
      </c>
      <c r="E655" s="4" t="s">
        <v>219</v>
      </c>
      <c r="F655" s="3" t="s">
        <v>5578</v>
      </c>
      <c r="G655" s="7" t="s">
        <v>5533</v>
      </c>
      <c r="H655" s="3" t="s">
        <v>6003</v>
      </c>
      <c r="I655" s="3" t="s">
        <v>6004</v>
      </c>
      <c r="J655" s="3" t="s">
        <v>5536</v>
      </c>
      <c r="K655" s="3" t="s">
        <v>5727</v>
      </c>
      <c r="L655" s="8" t="str">
        <f>HYPERLINK("http://slimages.macys.com/is/image/MCY/15384096 ")</f>
        <v xml:space="preserve">http://slimages.macys.com/is/image/MCY/15384096 </v>
      </c>
    </row>
    <row r="656" spans="1:12" ht="36.75" x14ac:dyDescent="0.25">
      <c r="A656" s="6" t="s">
        <v>4346</v>
      </c>
      <c r="B656" s="3" t="s">
        <v>4339</v>
      </c>
      <c r="C656" s="4">
        <v>1</v>
      </c>
      <c r="D656" s="5">
        <v>24.99</v>
      </c>
      <c r="E656" s="4" t="s">
        <v>4340</v>
      </c>
      <c r="F656" s="3" t="s">
        <v>5552</v>
      </c>
      <c r="G656" s="7" t="s">
        <v>5533</v>
      </c>
      <c r="H656" s="3" t="s">
        <v>6608</v>
      </c>
      <c r="I656" s="3" t="s">
        <v>6609</v>
      </c>
      <c r="J656" s="3" t="s">
        <v>5536</v>
      </c>
      <c r="K656" s="3" t="s">
        <v>4341</v>
      </c>
      <c r="L656" s="8" t="str">
        <f>HYPERLINK("http://slimages.macys.com/is/image/MCY/9843044 ")</f>
        <v xml:space="preserve">http://slimages.macys.com/is/image/MCY/9843044 </v>
      </c>
    </row>
    <row r="657" spans="1:12" ht="36.75" x14ac:dyDescent="0.25">
      <c r="A657" s="6" t="s">
        <v>4348</v>
      </c>
      <c r="B657" s="3" t="s">
        <v>4349</v>
      </c>
      <c r="C657" s="4">
        <v>1</v>
      </c>
      <c r="D657" s="5">
        <v>21.5</v>
      </c>
      <c r="E657" s="4" t="s">
        <v>4350</v>
      </c>
      <c r="F657" s="3" t="s">
        <v>5540</v>
      </c>
      <c r="G657" s="7" t="s">
        <v>5898</v>
      </c>
      <c r="H657" s="3" t="s">
        <v>4141</v>
      </c>
      <c r="I657" s="3" t="s">
        <v>4351</v>
      </c>
      <c r="J657" s="3" t="s">
        <v>5536</v>
      </c>
      <c r="K657" s="3" t="s">
        <v>4352</v>
      </c>
      <c r="L657" s="8" t="str">
        <f>HYPERLINK("http://slimages.macys.com/is/image/MCY/13324845 ")</f>
        <v xml:space="preserve">http://slimages.macys.com/is/image/MCY/13324845 </v>
      </c>
    </row>
    <row r="658" spans="1:12" x14ac:dyDescent="0.25">
      <c r="A658" s="6" t="s">
        <v>220</v>
      </c>
      <c r="B658" s="3" t="s">
        <v>221</v>
      </c>
      <c r="C658" s="4">
        <v>1</v>
      </c>
      <c r="D658" s="5">
        <v>39.5</v>
      </c>
      <c r="E658" s="4">
        <v>100049487</v>
      </c>
      <c r="F658" s="3" t="s">
        <v>5540</v>
      </c>
      <c r="G658" s="7" t="s">
        <v>5562</v>
      </c>
      <c r="H658" s="3" t="s">
        <v>5585</v>
      </c>
      <c r="I658" s="3" t="s">
        <v>5734</v>
      </c>
      <c r="J658" s="3" t="s">
        <v>5536</v>
      </c>
      <c r="K658" s="3" t="s">
        <v>5574</v>
      </c>
      <c r="L658" s="8" t="str">
        <f>HYPERLINK("http://slimages.macys.com/is/image/MCY/11965247 ")</f>
        <v xml:space="preserve">http://slimages.macys.com/is/image/MCY/11965247 </v>
      </c>
    </row>
    <row r="659" spans="1:12" ht="24.75" x14ac:dyDescent="0.25">
      <c r="A659" s="6" t="s">
        <v>222</v>
      </c>
      <c r="B659" s="3" t="s">
        <v>2492</v>
      </c>
      <c r="C659" s="4">
        <v>2</v>
      </c>
      <c r="D659" s="5">
        <v>49</v>
      </c>
      <c r="E659" s="4">
        <v>100063511</v>
      </c>
      <c r="F659" s="3" t="s">
        <v>5714</v>
      </c>
      <c r="G659" s="7" t="s">
        <v>5562</v>
      </c>
      <c r="H659" s="3" t="s">
        <v>5585</v>
      </c>
      <c r="I659" s="3" t="s">
        <v>5734</v>
      </c>
      <c r="J659" s="3" t="s">
        <v>5536</v>
      </c>
      <c r="K659" s="3" t="s">
        <v>2493</v>
      </c>
      <c r="L659" s="8" t="str">
        <f>HYPERLINK("http://slimages.macys.com/is/image/MCY/14806714 ")</f>
        <v xml:space="preserve">http://slimages.macys.com/is/image/MCY/14806714 </v>
      </c>
    </row>
    <row r="660" spans="1:12" ht="24.75" x14ac:dyDescent="0.25">
      <c r="A660" s="6" t="s">
        <v>223</v>
      </c>
      <c r="B660" s="3" t="s">
        <v>2492</v>
      </c>
      <c r="C660" s="4">
        <v>1</v>
      </c>
      <c r="D660" s="5">
        <v>24.5</v>
      </c>
      <c r="E660" s="4">
        <v>100063511</v>
      </c>
      <c r="F660" s="3" t="s">
        <v>5714</v>
      </c>
      <c r="G660" s="7" t="s">
        <v>5533</v>
      </c>
      <c r="H660" s="3" t="s">
        <v>5585</v>
      </c>
      <c r="I660" s="3" t="s">
        <v>5734</v>
      </c>
      <c r="J660" s="3" t="s">
        <v>5536</v>
      </c>
      <c r="K660" s="3" t="s">
        <v>2493</v>
      </c>
      <c r="L660" s="8" t="str">
        <f>HYPERLINK("http://slimages.macys.com/is/image/MCY/14806714 ")</f>
        <v xml:space="preserve">http://slimages.macys.com/is/image/MCY/14806714 </v>
      </c>
    </row>
    <row r="661" spans="1:12" ht="24.75" x14ac:dyDescent="0.25">
      <c r="A661" s="6" t="s">
        <v>224</v>
      </c>
      <c r="B661" s="3" t="s">
        <v>2492</v>
      </c>
      <c r="C661" s="4">
        <v>1</v>
      </c>
      <c r="D661" s="5">
        <v>24.5</v>
      </c>
      <c r="E661" s="4">
        <v>100063511</v>
      </c>
      <c r="F661" s="3" t="s">
        <v>5714</v>
      </c>
      <c r="G661" s="7" t="s">
        <v>5598</v>
      </c>
      <c r="H661" s="3" t="s">
        <v>5585</v>
      </c>
      <c r="I661" s="3" t="s">
        <v>5734</v>
      </c>
      <c r="J661" s="3" t="s">
        <v>5536</v>
      </c>
      <c r="K661" s="3" t="s">
        <v>2493</v>
      </c>
      <c r="L661" s="8" t="str">
        <f>HYPERLINK("http://slimages.macys.com/is/image/MCY/14806714 ")</f>
        <v xml:space="preserve">http://slimages.macys.com/is/image/MCY/14806714 </v>
      </c>
    </row>
    <row r="662" spans="1:12" ht="24.75" x14ac:dyDescent="0.25">
      <c r="A662" s="6" t="s">
        <v>225</v>
      </c>
      <c r="B662" s="3" t="s">
        <v>226</v>
      </c>
      <c r="C662" s="4">
        <v>1</v>
      </c>
      <c r="D662" s="5">
        <v>24.99</v>
      </c>
      <c r="E662" s="4" t="s">
        <v>227</v>
      </c>
      <c r="F662" s="3" t="s">
        <v>5811</v>
      </c>
      <c r="G662" s="7"/>
      <c r="H662" s="3" t="s">
        <v>6280</v>
      </c>
      <c r="I662" s="3" t="s">
        <v>4889</v>
      </c>
      <c r="J662" s="3" t="s">
        <v>5536</v>
      </c>
      <c r="K662" s="3" t="s">
        <v>5727</v>
      </c>
      <c r="L662" s="8" t="str">
        <f>HYPERLINK("http://slimages.macys.com/is/image/MCY/15420008 ")</f>
        <v xml:space="preserve">http://slimages.macys.com/is/image/MCY/15420008 </v>
      </c>
    </row>
    <row r="663" spans="1:12" x14ac:dyDescent="0.25">
      <c r="A663" s="6" t="s">
        <v>228</v>
      </c>
      <c r="B663" s="3" t="s">
        <v>4945</v>
      </c>
      <c r="C663" s="4">
        <v>2</v>
      </c>
      <c r="D663" s="5">
        <v>59</v>
      </c>
      <c r="E663" s="4">
        <v>100081871</v>
      </c>
      <c r="F663" s="3" t="s">
        <v>5540</v>
      </c>
      <c r="G663" s="7" t="s">
        <v>5598</v>
      </c>
      <c r="H663" s="3" t="s">
        <v>5585</v>
      </c>
      <c r="I663" s="3" t="s">
        <v>5734</v>
      </c>
      <c r="J663" s="3" t="s">
        <v>5536</v>
      </c>
      <c r="K663" s="3" t="s">
        <v>5574</v>
      </c>
      <c r="L663" s="8" t="str">
        <f>HYPERLINK("http://slimages.macys.com/is/image/MCY/15667304 ")</f>
        <v xml:space="preserve">http://slimages.macys.com/is/image/MCY/15667304 </v>
      </c>
    </row>
    <row r="664" spans="1:12" x14ac:dyDescent="0.25">
      <c r="A664" s="6" t="s">
        <v>229</v>
      </c>
      <c r="B664" s="3" t="s">
        <v>2402</v>
      </c>
      <c r="C664" s="4">
        <v>1</v>
      </c>
      <c r="D664" s="5">
        <v>29.99</v>
      </c>
      <c r="E664" s="4">
        <v>100018716</v>
      </c>
      <c r="F664" s="3" t="s">
        <v>5977</v>
      </c>
      <c r="G664" s="7" t="s">
        <v>6500</v>
      </c>
      <c r="H664" s="3" t="s">
        <v>6003</v>
      </c>
      <c r="I664" s="3" t="s">
        <v>6004</v>
      </c>
      <c r="J664" s="3" t="s">
        <v>5536</v>
      </c>
      <c r="K664" s="3" t="s">
        <v>5553</v>
      </c>
      <c r="L664" s="8" t="str">
        <f>HYPERLINK("http://slimages.macys.com/is/image/MCY/9591441 ")</f>
        <v xml:space="preserve">http://slimages.macys.com/is/image/MCY/9591441 </v>
      </c>
    </row>
    <row r="665" spans="1:12" ht="24.75" x14ac:dyDescent="0.25">
      <c r="A665" s="6" t="s">
        <v>230</v>
      </c>
      <c r="B665" s="3" t="s">
        <v>6636</v>
      </c>
      <c r="C665" s="4">
        <v>1</v>
      </c>
      <c r="D665" s="5">
        <v>29.99</v>
      </c>
      <c r="E665" s="4" t="s">
        <v>6637</v>
      </c>
      <c r="F665" s="3" t="s">
        <v>5532</v>
      </c>
      <c r="G665" s="7" t="s">
        <v>5562</v>
      </c>
      <c r="H665" s="3" t="s">
        <v>6065</v>
      </c>
      <c r="I665" s="3" t="s">
        <v>6066</v>
      </c>
      <c r="J665" s="3" t="s">
        <v>5536</v>
      </c>
      <c r="K665" s="3" t="s">
        <v>6638</v>
      </c>
      <c r="L665" s="8" t="str">
        <f>HYPERLINK("http://slimages.macys.com/is/image/MCY/8796569 ")</f>
        <v xml:space="preserve">http://slimages.macys.com/is/image/MCY/8796569 </v>
      </c>
    </row>
    <row r="666" spans="1:12" ht="24.75" x14ac:dyDescent="0.25">
      <c r="A666" s="6" t="s">
        <v>231</v>
      </c>
      <c r="B666" s="3" t="s">
        <v>6636</v>
      </c>
      <c r="C666" s="4">
        <v>1</v>
      </c>
      <c r="D666" s="5">
        <v>29.99</v>
      </c>
      <c r="E666" s="4" t="s">
        <v>6637</v>
      </c>
      <c r="F666" s="3" t="s">
        <v>5532</v>
      </c>
      <c r="G666" s="7" t="s">
        <v>5560</v>
      </c>
      <c r="H666" s="3" t="s">
        <v>6065</v>
      </c>
      <c r="I666" s="3" t="s">
        <v>6066</v>
      </c>
      <c r="J666" s="3" t="s">
        <v>5536</v>
      </c>
      <c r="K666" s="3" t="s">
        <v>6638</v>
      </c>
      <c r="L666" s="8" t="str">
        <f>HYPERLINK("http://slimages.macys.com/is/image/MCY/8796569 ")</f>
        <v xml:space="preserve">http://slimages.macys.com/is/image/MCY/8796569 </v>
      </c>
    </row>
    <row r="667" spans="1:12" ht="24.75" x14ac:dyDescent="0.25">
      <c r="A667" s="6" t="s">
        <v>232</v>
      </c>
      <c r="B667" s="3" t="s">
        <v>6636</v>
      </c>
      <c r="C667" s="4">
        <v>1</v>
      </c>
      <c r="D667" s="5">
        <v>29.99</v>
      </c>
      <c r="E667" s="4" t="s">
        <v>6637</v>
      </c>
      <c r="F667" s="3" t="s">
        <v>5532</v>
      </c>
      <c r="G667" s="7" t="s">
        <v>5598</v>
      </c>
      <c r="H667" s="3" t="s">
        <v>6065</v>
      </c>
      <c r="I667" s="3" t="s">
        <v>6066</v>
      </c>
      <c r="J667" s="3" t="s">
        <v>5536</v>
      </c>
      <c r="K667" s="3" t="s">
        <v>6638</v>
      </c>
      <c r="L667" s="8" t="str">
        <f>HYPERLINK("http://slimages.macys.com/is/image/MCY/8796569 ")</f>
        <v xml:space="preserve">http://slimages.macys.com/is/image/MCY/8796569 </v>
      </c>
    </row>
    <row r="668" spans="1:12" ht="24.75" x14ac:dyDescent="0.25">
      <c r="A668" s="6" t="s">
        <v>233</v>
      </c>
      <c r="B668" s="3" t="s">
        <v>2502</v>
      </c>
      <c r="C668" s="4">
        <v>1</v>
      </c>
      <c r="D668" s="5">
        <v>35</v>
      </c>
      <c r="E668" s="4" t="s">
        <v>2503</v>
      </c>
      <c r="F668" s="3" t="s">
        <v>6275</v>
      </c>
      <c r="G668" s="7" t="s">
        <v>5533</v>
      </c>
      <c r="H668" s="3" t="s">
        <v>3941</v>
      </c>
      <c r="I668" s="3" t="s">
        <v>3942</v>
      </c>
      <c r="J668" s="3" t="s">
        <v>5536</v>
      </c>
      <c r="K668" s="3" t="s">
        <v>5574</v>
      </c>
      <c r="L668" s="8" t="str">
        <f>HYPERLINK("http://slimages.macys.com/is/image/MCY/15435215 ")</f>
        <v xml:space="preserve">http://slimages.macys.com/is/image/MCY/15435215 </v>
      </c>
    </row>
    <row r="669" spans="1:12" ht="24.75" x14ac:dyDescent="0.25">
      <c r="A669" s="6" t="s">
        <v>234</v>
      </c>
      <c r="B669" s="3" t="s">
        <v>235</v>
      </c>
      <c r="C669" s="4">
        <v>1</v>
      </c>
      <c r="D669" s="5">
        <v>17.77</v>
      </c>
      <c r="E669" s="4" t="s">
        <v>6645</v>
      </c>
      <c r="F669" s="3" t="s">
        <v>5532</v>
      </c>
      <c r="G669" s="7"/>
      <c r="H669" s="3" t="s">
        <v>6026</v>
      </c>
      <c r="I669" s="3" t="s">
        <v>6646</v>
      </c>
      <c r="J669" s="3" t="s">
        <v>5536</v>
      </c>
      <c r="K669" s="3" t="s">
        <v>5574</v>
      </c>
      <c r="L669" s="8" t="str">
        <f>HYPERLINK("http://slimages.macys.com/is/image/MCY/3954218 ")</f>
        <v xml:space="preserve">http://slimages.macys.com/is/image/MCY/3954218 </v>
      </c>
    </row>
    <row r="670" spans="1:12" ht="24.75" x14ac:dyDescent="0.25">
      <c r="A670" s="6" t="s">
        <v>236</v>
      </c>
      <c r="B670" s="3" t="s">
        <v>6648</v>
      </c>
      <c r="C670" s="4">
        <v>1</v>
      </c>
      <c r="D670" s="5">
        <v>17.77</v>
      </c>
      <c r="E670" s="4" t="s">
        <v>6649</v>
      </c>
      <c r="F670" s="3" t="s">
        <v>7010</v>
      </c>
      <c r="G670" s="7"/>
      <c r="H670" s="3" t="s">
        <v>6026</v>
      </c>
      <c r="I670" s="3" t="s">
        <v>6646</v>
      </c>
      <c r="J670" s="3" t="s">
        <v>5536</v>
      </c>
      <c r="K670" s="3" t="s">
        <v>5574</v>
      </c>
      <c r="L670" s="8" t="str">
        <f>HYPERLINK("http://slimages.macys.com/is/image/MCY/13038335 ")</f>
        <v xml:space="preserve">http://slimages.macys.com/is/image/MCY/13038335 </v>
      </c>
    </row>
    <row r="671" spans="1:12" ht="24.75" x14ac:dyDescent="0.25">
      <c r="A671" s="6" t="s">
        <v>237</v>
      </c>
      <c r="B671" s="3" t="s">
        <v>238</v>
      </c>
      <c r="C671" s="4">
        <v>1</v>
      </c>
      <c r="D671" s="5">
        <v>29.99</v>
      </c>
      <c r="E671" s="4" t="s">
        <v>239</v>
      </c>
      <c r="F671" s="3" t="s">
        <v>5540</v>
      </c>
      <c r="G671" s="7" t="s">
        <v>5598</v>
      </c>
      <c r="H671" s="3" t="s">
        <v>6522</v>
      </c>
      <c r="I671" s="3" t="s">
        <v>6523</v>
      </c>
      <c r="J671" s="3" t="s">
        <v>5536</v>
      </c>
      <c r="K671" s="3" t="s">
        <v>5727</v>
      </c>
      <c r="L671" s="8" t="str">
        <f>HYPERLINK("http://slimages.macys.com/is/image/MCY/11379257 ")</f>
        <v xml:space="preserve">http://slimages.macys.com/is/image/MCY/11379257 </v>
      </c>
    </row>
    <row r="672" spans="1:12" ht="36.75" x14ac:dyDescent="0.25">
      <c r="A672" s="6" t="s">
        <v>240</v>
      </c>
      <c r="B672" s="3" t="s">
        <v>6657</v>
      </c>
      <c r="C672" s="4">
        <v>3</v>
      </c>
      <c r="D672" s="5">
        <v>83.97</v>
      </c>
      <c r="E672" s="4">
        <v>10008585700</v>
      </c>
      <c r="F672" s="3" t="s">
        <v>5532</v>
      </c>
      <c r="G672" s="7" t="s">
        <v>6252</v>
      </c>
      <c r="H672" s="3" t="s">
        <v>6652</v>
      </c>
      <c r="I672" s="3" t="s">
        <v>6653</v>
      </c>
      <c r="J672" s="3" t="s">
        <v>5536</v>
      </c>
      <c r="K672" s="3" t="s">
        <v>6658</v>
      </c>
      <c r="L672" s="8" t="str">
        <f>HYPERLINK("http://slimages.macys.com/is/image/MCY/15664883 ")</f>
        <v xml:space="preserve">http://slimages.macys.com/is/image/MCY/15664883 </v>
      </c>
    </row>
    <row r="673" spans="1:12" ht="24.75" x14ac:dyDescent="0.25">
      <c r="A673" s="6" t="s">
        <v>241</v>
      </c>
      <c r="B673" s="3" t="s">
        <v>242</v>
      </c>
      <c r="C673" s="4">
        <v>1</v>
      </c>
      <c r="D673" s="5">
        <v>27.99</v>
      </c>
      <c r="E673" s="4">
        <v>10006895900</v>
      </c>
      <c r="F673" s="3" t="s">
        <v>6335</v>
      </c>
      <c r="G673" s="7" t="s">
        <v>6252</v>
      </c>
      <c r="H673" s="3" t="s">
        <v>6652</v>
      </c>
      <c r="I673" s="3" t="s">
        <v>6653</v>
      </c>
      <c r="J673" s="3" t="s">
        <v>5536</v>
      </c>
      <c r="K673" s="3" t="s">
        <v>6338</v>
      </c>
      <c r="L673" s="8" t="str">
        <f>HYPERLINK("http://slimages.macys.com/is/image/MCY/12352902 ")</f>
        <v xml:space="preserve">http://slimages.macys.com/is/image/MCY/12352902 </v>
      </c>
    </row>
    <row r="674" spans="1:12" ht="24.75" x14ac:dyDescent="0.25">
      <c r="A674" s="6" t="s">
        <v>1082</v>
      </c>
      <c r="B674" s="3" t="s">
        <v>6651</v>
      </c>
      <c r="C674" s="4">
        <v>2</v>
      </c>
      <c r="D674" s="5">
        <v>55.98</v>
      </c>
      <c r="E674" s="4">
        <v>10008460800</v>
      </c>
      <c r="F674" s="3" t="s">
        <v>5661</v>
      </c>
      <c r="G674" s="7" t="s">
        <v>6252</v>
      </c>
      <c r="H674" s="3" t="s">
        <v>6652</v>
      </c>
      <c r="I674" s="3" t="s">
        <v>6653</v>
      </c>
      <c r="J674" s="3" t="s">
        <v>5536</v>
      </c>
      <c r="K674" s="3" t="s">
        <v>5587</v>
      </c>
      <c r="L674" s="8" t="str">
        <f>HYPERLINK("http://slimages.macys.com/is/image/MCY/15924999 ")</f>
        <v xml:space="preserve">http://slimages.macys.com/is/image/MCY/15924999 </v>
      </c>
    </row>
    <row r="675" spans="1:12" ht="24.75" x14ac:dyDescent="0.25">
      <c r="A675" s="6" t="s">
        <v>243</v>
      </c>
      <c r="B675" s="3" t="s">
        <v>6655</v>
      </c>
      <c r="C675" s="4">
        <v>1</v>
      </c>
      <c r="D675" s="5">
        <v>27.99</v>
      </c>
      <c r="E675" s="4">
        <v>10006153900</v>
      </c>
      <c r="F675" s="3" t="s">
        <v>6703</v>
      </c>
      <c r="G675" s="7" t="s">
        <v>6252</v>
      </c>
      <c r="H675" s="3" t="s">
        <v>6652</v>
      </c>
      <c r="I675" s="3" t="s">
        <v>6653</v>
      </c>
      <c r="J675" s="3" t="s">
        <v>5536</v>
      </c>
      <c r="K675" s="3" t="s">
        <v>6507</v>
      </c>
      <c r="L675" s="8" t="str">
        <f>HYPERLINK("http://slimages.macys.com/is/image/MCY/11607514 ")</f>
        <v xml:space="preserve">http://slimages.macys.com/is/image/MCY/11607514 </v>
      </c>
    </row>
    <row r="676" spans="1:12" ht="24.75" x14ac:dyDescent="0.25">
      <c r="A676" s="6" t="s">
        <v>244</v>
      </c>
      <c r="B676" s="3" t="s">
        <v>541</v>
      </c>
      <c r="C676" s="4">
        <v>1</v>
      </c>
      <c r="D676" s="5">
        <v>27.99</v>
      </c>
      <c r="E676" s="4">
        <v>10007799200</v>
      </c>
      <c r="F676" s="3" t="s">
        <v>6335</v>
      </c>
      <c r="G676" s="7" t="s">
        <v>6252</v>
      </c>
      <c r="H676" s="3" t="s">
        <v>6652</v>
      </c>
      <c r="I676" s="3" t="s">
        <v>6653</v>
      </c>
      <c r="J676" s="3" t="s">
        <v>5536</v>
      </c>
      <c r="K676" s="3" t="s">
        <v>6316</v>
      </c>
      <c r="L676" s="8" t="str">
        <f>HYPERLINK("http://slimages.macys.com/is/image/MCY/15420733 ")</f>
        <v xml:space="preserve">http://slimages.macys.com/is/image/MCY/15420733 </v>
      </c>
    </row>
    <row r="677" spans="1:12" ht="36.75" x14ac:dyDescent="0.25">
      <c r="A677" s="6" t="s">
        <v>6656</v>
      </c>
      <c r="B677" s="3" t="s">
        <v>6657</v>
      </c>
      <c r="C677" s="4">
        <v>2</v>
      </c>
      <c r="D677" s="5">
        <v>55.98</v>
      </c>
      <c r="E677" s="4">
        <v>10008585700</v>
      </c>
      <c r="F677" s="3" t="s">
        <v>5661</v>
      </c>
      <c r="G677" s="7" t="s">
        <v>6252</v>
      </c>
      <c r="H677" s="3" t="s">
        <v>6652</v>
      </c>
      <c r="I677" s="3" t="s">
        <v>6653</v>
      </c>
      <c r="J677" s="3" t="s">
        <v>5536</v>
      </c>
      <c r="K677" s="3" t="s">
        <v>6658</v>
      </c>
      <c r="L677" s="8" t="str">
        <f>HYPERLINK("http://slimages.macys.com/is/image/MCY/15664883 ")</f>
        <v xml:space="preserve">http://slimages.macys.com/is/image/MCY/15664883 </v>
      </c>
    </row>
    <row r="678" spans="1:12" ht="24.75" x14ac:dyDescent="0.25">
      <c r="A678" s="6" t="s">
        <v>4390</v>
      </c>
      <c r="B678" s="3" t="s">
        <v>6660</v>
      </c>
      <c r="C678" s="4">
        <v>1</v>
      </c>
      <c r="D678" s="5">
        <v>29.99</v>
      </c>
      <c r="E678" s="4" t="s">
        <v>4389</v>
      </c>
      <c r="F678" s="3" t="s">
        <v>5540</v>
      </c>
      <c r="G678" s="7" t="s">
        <v>5560</v>
      </c>
      <c r="H678" s="3" t="s">
        <v>6065</v>
      </c>
      <c r="I678" s="3" t="s">
        <v>6066</v>
      </c>
      <c r="J678" s="3" t="s">
        <v>5536</v>
      </c>
      <c r="K678" s="3" t="s">
        <v>6638</v>
      </c>
      <c r="L678" s="8" t="str">
        <f t="shared" ref="L678:L686" si="7">HYPERLINK("http://slimages.macys.com/is/image/MCY/8796569 ")</f>
        <v xml:space="preserve">http://slimages.macys.com/is/image/MCY/8796569 </v>
      </c>
    </row>
    <row r="679" spans="1:12" ht="24.75" x14ac:dyDescent="0.25">
      <c r="A679" s="6" t="s">
        <v>245</v>
      </c>
      <c r="B679" s="3" t="s">
        <v>6660</v>
      </c>
      <c r="C679" s="4">
        <v>1</v>
      </c>
      <c r="D679" s="5">
        <v>29.99</v>
      </c>
      <c r="E679" s="4" t="s">
        <v>246</v>
      </c>
      <c r="F679" s="3" t="s">
        <v>6703</v>
      </c>
      <c r="G679" s="7" t="s">
        <v>5562</v>
      </c>
      <c r="H679" s="3" t="s">
        <v>6065</v>
      </c>
      <c r="I679" s="3" t="s">
        <v>6066</v>
      </c>
      <c r="J679" s="3" t="s">
        <v>5536</v>
      </c>
      <c r="K679" s="3" t="s">
        <v>6638</v>
      </c>
      <c r="L679" s="8" t="str">
        <f t="shared" si="7"/>
        <v xml:space="preserve">http://slimages.macys.com/is/image/MCY/8796569 </v>
      </c>
    </row>
    <row r="680" spans="1:12" ht="24.75" x14ac:dyDescent="0.25">
      <c r="A680" s="6" t="s">
        <v>247</v>
      </c>
      <c r="B680" s="3" t="s">
        <v>6660</v>
      </c>
      <c r="C680" s="4">
        <v>2</v>
      </c>
      <c r="D680" s="5">
        <v>59.98</v>
      </c>
      <c r="E680" s="4" t="s">
        <v>248</v>
      </c>
      <c r="F680" s="3" t="s">
        <v>5714</v>
      </c>
      <c r="G680" s="7" t="s">
        <v>5562</v>
      </c>
      <c r="H680" s="3" t="s">
        <v>6065</v>
      </c>
      <c r="I680" s="3" t="s">
        <v>6066</v>
      </c>
      <c r="J680" s="3" t="s">
        <v>5536</v>
      </c>
      <c r="K680" s="3" t="s">
        <v>6638</v>
      </c>
      <c r="L680" s="8" t="str">
        <f t="shared" si="7"/>
        <v xml:space="preserve">http://slimages.macys.com/is/image/MCY/8796569 </v>
      </c>
    </row>
    <row r="681" spans="1:12" ht="24.75" x14ac:dyDescent="0.25">
      <c r="A681" s="6" t="s">
        <v>249</v>
      </c>
      <c r="B681" s="3" t="s">
        <v>6660</v>
      </c>
      <c r="C681" s="4">
        <v>1</v>
      </c>
      <c r="D681" s="5">
        <v>29.99</v>
      </c>
      <c r="E681" s="4" t="s">
        <v>2506</v>
      </c>
      <c r="F681" s="3" t="s">
        <v>5532</v>
      </c>
      <c r="G681" s="7" t="s">
        <v>5598</v>
      </c>
      <c r="H681" s="3" t="s">
        <v>6065</v>
      </c>
      <c r="I681" s="3" t="s">
        <v>6066</v>
      </c>
      <c r="J681" s="3" t="s">
        <v>5536</v>
      </c>
      <c r="K681" s="3" t="s">
        <v>6638</v>
      </c>
      <c r="L681" s="8" t="str">
        <f t="shared" si="7"/>
        <v xml:space="preserve">http://slimages.macys.com/is/image/MCY/8796569 </v>
      </c>
    </row>
    <row r="682" spans="1:12" ht="24.75" x14ac:dyDescent="0.25">
      <c r="A682" s="6" t="s">
        <v>250</v>
      </c>
      <c r="B682" s="3" t="s">
        <v>6660</v>
      </c>
      <c r="C682" s="4">
        <v>1</v>
      </c>
      <c r="D682" s="5">
        <v>29.99</v>
      </c>
      <c r="E682" s="4" t="s">
        <v>4392</v>
      </c>
      <c r="F682" s="3" t="s">
        <v>5540</v>
      </c>
      <c r="G682" s="7" t="s">
        <v>5582</v>
      </c>
      <c r="H682" s="3" t="s">
        <v>6065</v>
      </c>
      <c r="I682" s="3" t="s">
        <v>6066</v>
      </c>
      <c r="J682" s="3" t="s">
        <v>5536</v>
      </c>
      <c r="K682" s="3" t="s">
        <v>6638</v>
      </c>
      <c r="L682" s="8" t="str">
        <f t="shared" si="7"/>
        <v xml:space="preserve">http://slimages.macys.com/is/image/MCY/8796569 </v>
      </c>
    </row>
    <row r="683" spans="1:12" ht="24.75" x14ac:dyDescent="0.25">
      <c r="A683" s="6" t="s">
        <v>251</v>
      </c>
      <c r="B683" s="3" t="s">
        <v>6660</v>
      </c>
      <c r="C683" s="4">
        <v>1</v>
      </c>
      <c r="D683" s="5">
        <v>29.99</v>
      </c>
      <c r="E683" s="4" t="s">
        <v>6663</v>
      </c>
      <c r="F683" s="3" t="s">
        <v>5604</v>
      </c>
      <c r="G683" s="7" t="s">
        <v>5598</v>
      </c>
      <c r="H683" s="3" t="s">
        <v>6065</v>
      </c>
      <c r="I683" s="3" t="s">
        <v>6066</v>
      </c>
      <c r="J683" s="3" t="s">
        <v>5536</v>
      </c>
      <c r="K683" s="3" t="s">
        <v>6638</v>
      </c>
      <c r="L683" s="8" t="str">
        <f t="shared" si="7"/>
        <v xml:space="preserve">http://slimages.macys.com/is/image/MCY/8796569 </v>
      </c>
    </row>
    <row r="684" spans="1:12" ht="24.75" x14ac:dyDescent="0.25">
      <c r="A684" s="6" t="s">
        <v>252</v>
      </c>
      <c r="B684" s="3" t="s">
        <v>6660</v>
      </c>
      <c r="C684" s="4">
        <v>1</v>
      </c>
      <c r="D684" s="5">
        <v>29.99</v>
      </c>
      <c r="E684" s="4" t="s">
        <v>253</v>
      </c>
      <c r="F684" s="3" t="s">
        <v>5540</v>
      </c>
      <c r="G684" s="7" t="s">
        <v>5560</v>
      </c>
      <c r="H684" s="3" t="s">
        <v>6065</v>
      </c>
      <c r="I684" s="3" t="s">
        <v>6066</v>
      </c>
      <c r="J684" s="3" t="s">
        <v>5536</v>
      </c>
      <c r="K684" s="3" t="s">
        <v>6638</v>
      </c>
      <c r="L684" s="8" t="str">
        <f t="shared" si="7"/>
        <v xml:space="preserve">http://slimages.macys.com/is/image/MCY/8796569 </v>
      </c>
    </row>
    <row r="685" spans="1:12" ht="24.75" x14ac:dyDescent="0.25">
      <c r="A685" s="6" t="s">
        <v>254</v>
      </c>
      <c r="B685" s="3" t="s">
        <v>6660</v>
      </c>
      <c r="C685" s="4">
        <v>1</v>
      </c>
      <c r="D685" s="5">
        <v>29.99</v>
      </c>
      <c r="E685" s="4" t="s">
        <v>4389</v>
      </c>
      <c r="F685" s="3" t="s">
        <v>5540</v>
      </c>
      <c r="G685" s="7" t="s">
        <v>5533</v>
      </c>
      <c r="H685" s="3" t="s">
        <v>6065</v>
      </c>
      <c r="I685" s="3" t="s">
        <v>6066</v>
      </c>
      <c r="J685" s="3" t="s">
        <v>5536</v>
      </c>
      <c r="K685" s="3" t="s">
        <v>6638</v>
      </c>
      <c r="L685" s="8" t="str">
        <f t="shared" si="7"/>
        <v xml:space="preserve">http://slimages.macys.com/is/image/MCY/8796569 </v>
      </c>
    </row>
    <row r="686" spans="1:12" ht="24.75" x14ac:dyDescent="0.25">
      <c r="A686" s="6" t="s">
        <v>255</v>
      </c>
      <c r="B686" s="3" t="s">
        <v>6660</v>
      </c>
      <c r="C686" s="4">
        <v>2</v>
      </c>
      <c r="D686" s="5">
        <v>59.98</v>
      </c>
      <c r="E686" s="4" t="s">
        <v>5123</v>
      </c>
      <c r="F686" s="3" t="s">
        <v>6275</v>
      </c>
      <c r="G686" s="7" t="s">
        <v>5596</v>
      </c>
      <c r="H686" s="3" t="s">
        <v>6065</v>
      </c>
      <c r="I686" s="3" t="s">
        <v>6066</v>
      </c>
      <c r="J686" s="3" t="s">
        <v>5536</v>
      </c>
      <c r="K686" s="3" t="s">
        <v>6638</v>
      </c>
      <c r="L686" s="8" t="str">
        <f t="shared" si="7"/>
        <v xml:space="preserve">http://slimages.macys.com/is/image/MCY/8796569 </v>
      </c>
    </row>
    <row r="687" spans="1:12" x14ac:dyDescent="0.25">
      <c r="A687" s="6" t="s">
        <v>256</v>
      </c>
      <c r="B687" s="3" t="s">
        <v>3318</v>
      </c>
      <c r="C687" s="4">
        <v>1</v>
      </c>
      <c r="D687" s="5">
        <v>24.99</v>
      </c>
      <c r="E687" s="4" t="s">
        <v>3319</v>
      </c>
      <c r="F687" s="3" t="s">
        <v>5540</v>
      </c>
      <c r="G687" s="7" t="s">
        <v>5560</v>
      </c>
      <c r="H687" s="3" t="s">
        <v>6065</v>
      </c>
      <c r="I687" s="3" t="s">
        <v>6066</v>
      </c>
      <c r="J687" s="3" t="s">
        <v>5536</v>
      </c>
      <c r="K687" s="3" t="s">
        <v>5594</v>
      </c>
      <c r="L687" s="8" t="str">
        <f>HYPERLINK("http://slimages.macys.com/is/image/MCY/14409720 ")</f>
        <v xml:space="preserve">http://slimages.macys.com/is/image/MCY/14409720 </v>
      </c>
    </row>
    <row r="688" spans="1:12" ht="24.75" x14ac:dyDescent="0.25">
      <c r="A688" s="6" t="s">
        <v>5122</v>
      </c>
      <c r="B688" s="3" t="s">
        <v>6660</v>
      </c>
      <c r="C688" s="4">
        <v>1</v>
      </c>
      <c r="D688" s="5">
        <v>29.99</v>
      </c>
      <c r="E688" s="4" t="s">
        <v>5123</v>
      </c>
      <c r="F688" s="3" t="s">
        <v>6275</v>
      </c>
      <c r="G688" s="7" t="s">
        <v>5560</v>
      </c>
      <c r="H688" s="3" t="s">
        <v>6065</v>
      </c>
      <c r="I688" s="3" t="s">
        <v>6066</v>
      </c>
      <c r="J688" s="3" t="s">
        <v>5536</v>
      </c>
      <c r="K688" s="3" t="s">
        <v>6638</v>
      </c>
      <c r="L688" s="8" t="str">
        <f>HYPERLINK("http://slimages.macys.com/is/image/MCY/8796569 ")</f>
        <v xml:space="preserve">http://slimages.macys.com/is/image/MCY/8796569 </v>
      </c>
    </row>
    <row r="689" spans="1:12" ht="24.75" x14ac:dyDescent="0.25">
      <c r="A689" s="6" t="s">
        <v>1398</v>
      </c>
      <c r="B689" s="3" t="s">
        <v>2510</v>
      </c>
      <c r="C689" s="4">
        <v>1</v>
      </c>
      <c r="D689" s="5">
        <v>19.989999999999998</v>
      </c>
      <c r="E689" s="4" t="s">
        <v>2511</v>
      </c>
      <c r="F689" s="3" t="s">
        <v>5540</v>
      </c>
      <c r="G689" s="7" t="s">
        <v>6776</v>
      </c>
      <c r="H689" s="3" t="s">
        <v>5842</v>
      </c>
      <c r="I689" s="3" t="s">
        <v>5843</v>
      </c>
      <c r="J689" s="3" t="s">
        <v>5536</v>
      </c>
      <c r="K689" s="3" t="s">
        <v>2512</v>
      </c>
      <c r="L689" s="8" t="str">
        <f>HYPERLINK("http://slimages.macys.com/is/image/MCY/10520680 ")</f>
        <v xml:space="preserve">http://slimages.macys.com/is/image/MCY/10520680 </v>
      </c>
    </row>
    <row r="690" spans="1:12" ht="24.75" x14ac:dyDescent="0.25">
      <c r="A690" s="6" t="s">
        <v>3322</v>
      </c>
      <c r="B690" s="3" t="s">
        <v>5126</v>
      </c>
      <c r="C690" s="4">
        <v>2</v>
      </c>
      <c r="D690" s="5">
        <v>35</v>
      </c>
      <c r="E690" s="4" t="s">
        <v>3323</v>
      </c>
      <c r="F690" s="3" t="s">
        <v>5783</v>
      </c>
      <c r="G690" s="7" t="s">
        <v>6476</v>
      </c>
      <c r="H690" s="3" t="s">
        <v>5722</v>
      </c>
      <c r="I690" s="3" t="s">
        <v>5128</v>
      </c>
      <c r="J690" s="3" t="s">
        <v>5536</v>
      </c>
      <c r="K690" s="3" t="s">
        <v>5574</v>
      </c>
      <c r="L690" s="8" t="str">
        <f>HYPERLINK("http://slimages.macys.com/is/image/MCY/15817905 ")</f>
        <v xml:space="preserve">http://slimages.macys.com/is/image/MCY/15817905 </v>
      </c>
    </row>
    <row r="691" spans="1:12" ht="24.75" x14ac:dyDescent="0.25">
      <c r="A691" s="6" t="s">
        <v>3329</v>
      </c>
      <c r="B691" s="3" t="s">
        <v>5126</v>
      </c>
      <c r="C691" s="4">
        <v>1</v>
      </c>
      <c r="D691" s="5">
        <v>17.5</v>
      </c>
      <c r="E691" s="4" t="s">
        <v>3330</v>
      </c>
      <c r="F691" s="3" t="s">
        <v>6983</v>
      </c>
      <c r="G691" s="7" t="s">
        <v>6476</v>
      </c>
      <c r="H691" s="3" t="s">
        <v>5722</v>
      </c>
      <c r="I691" s="3" t="s">
        <v>5128</v>
      </c>
      <c r="J691" s="3" t="s">
        <v>5536</v>
      </c>
      <c r="K691" s="3" t="s">
        <v>5574</v>
      </c>
      <c r="L691" s="8" t="str">
        <f>HYPERLINK("http://slimages.macys.com/is/image/MCY/15817905 ")</f>
        <v xml:space="preserve">http://slimages.macys.com/is/image/MCY/15817905 </v>
      </c>
    </row>
    <row r="692" spans="1:12" x14ac:dyDescent="0.25">
      <c r="A692" s="6" t="s">
        <v>257</v>
      </c>
      <c r="B692" s="3" t="s">
        <v>258</v>
      </c>
      <c r="C692" s="4">
        <v>1</v>
      </c>
      <c r="D692" s="5">
        <v>39.5</v>
      </c>
      <c r="E692" s="4">
        <v>100063520</v>
      </c>
      <c r="F692" s="3" t="s">
        <v>5783</v>
      </c>
      <c r="G692" s="7" t="s">
        <v>5562</v>
      </c>
      <c r="H692" s="3" t="s">
        <v>5585</v>
      </c>
      <c r="I692" s="3" t="s">
        <v>5734</v>
      </c>
      <c r="J692" s="3" t="s">
        <v>5536</v>
      </c>
      <c r="K692" s="3" t="s">
        <v>5574</v>
      </c>
      <c r="L692" s="8" t="str">
        <f>HYPERLINK("http://slimages.macys.com/is/image/MCY/14375306 ")</f>
        <v xml:space="preserve">http://slimages.macys.com/is/image/MCY/14375306 </v>
      </c>
    </row>
    <row r="693" spans="1:12" x14ac:dyDescent="0.25">
      <c r="A693" s="6" t="s">
        <v>259</v>
      </c>
      <c r="B693" s="3" t="s">
        <v>258</v>
      </c>
      <c r="C693" s="4">
        <v>1</v>
      </c>
      <c r="D693" s="5">
        <v>39.5</v>
      </c>
      <c r="E693" s="4">
        <v>100063520</v>
      </c>
      <c r="F693" s="3" t="s">
        <v>5783</v>
      </c>
      <c r="G693" s="7" t="s">
        <v>5598</v>
      </c>
      <c r="H693" s="3" t="s">
        <v>5585</v>
      </c>
      <c r="I693" s="3" t="s">
        <v>5734</v>
      </c>
      <c r="J693" s="3" t="s">
        <v>5536</v>
      </c>
      <c r="K693" s="3" t="s">
        <v>5574</v>
      </c>
      <c r="L693" s="8" t="str">
        <f>HYPERLINK("http://slimages.macys.com/is/image/MCY/14375306 ")</f>
        <v xml:space="preserve">http://slimages.macys.com/is/image/MCY/14375306 </v>
      </c>
    </row>
    <row r="694" spans="1:12" ht="36.75" x14ac:dyDescent="0.25">
      <c r="A694" s="6" t="s">
        <v>260</v>
      </c>
      <c r="B694" s="3" t="s">
        <v>261</v>
      </c>
      <c r="C694" s="4">
        <v>1</v>
      </c>
      <c r="D694" s="5">
        <v>21.99</v>
      </c>
      <c r="E694" s="4" t="s">
        <v>262</v>
      </c>
      <c r="F694" s="3" t="s">
        <v>5783</v>
      </c>
      <c r="G694" s="7" t="s">
        <v>6491</v>
      </c>
      <c r="H694" s="3" t="s">
        <v>6627</v>
      </c>
      <c r="I694" s="3" t="s">
        <v>3284</v>
      </c>
      <c r="J694" s="3" t="s">
        <v>5536</v>
      </c>
      <c r="K694" s="3" t="s">
        <v>6172</v>
      </c>
      <c r="L694" s="8" t="str">
        <f>HYPERLINK("http://slimages.macys.com/is/image/MCY/8845326 ")</f>
        <v xml:space="preserve">http://slimages.macys.com/is/image/MCY/8845326 </v>
      </c>
    </row>
    <row r="695" spans="1:12" x14ac:dyDescent="0.25">
      <c r="A695" s="6" t="s">
        <v>263</v>
      </c>
      <c r="B695" s="3" t="s">
        <v>264</v>
      </c>
      <c r="C695" s="4">
        <v>2</v>
      </c>
      <c r="D695" s="5">
        <v>59</v>
      </c>
      <c r="E695" s="4">
        <v>100059070</v>
      </c>
      <c r="F695" s="3" t="s">
        <v>5783</v>
      </c>
      <c r="G695" s="7" t="s">
        <v>5562</v>
      </c>
      <c r="H695" s="3" t="s">
        <v>5585</v>
      </c>
      <c r="I695" s="3" t="s">
        <v>5734</v>
      </c>
      <c r="J695" s="3" t="s">
        <v>5536</v>
      </c>
      <c r="K695" s="3" t="s">
        <v>5594</v>
      </c>
      <c r="L695" s="8" t="str">
        <f>HYPERLINK("http://slimages.macys.com/is/image/MCY/12340527 ")</f>
        <v xml:space="preserve">http://slimages.macys.com/is/image/MCY/12340527 </v>
      </c>
    </row>
    <row r="696" spans="1:12" ht="24.75" x14ac:dyDescent="0.25">
      <c r="A696" s="6" t="s">
        <v>265</v>
      </c>
      <c r="B696" s="3" t="s">
        <v>266</v>
      </c>
      <c r="C696" s="4">
        <v>1</v>
      </c>
      <c r="D696" s="5">
        <v>20</v>
      </c>
      <c r="E696" s="4" t="s">
        <v>267</v>
      </c>
      <c r="F696" s="3" t="s">
        <v>5540</v>
      </c>
      <c r="G696" s="7" t="s">
        <v>5898</v>
      </c>
      <c r="H696" s="3" t="s">
        <v>6280</v>
      </c>
      <c r="I696" s="3" t="s">
        <v>3402</v>
      </c>
      <c r="J696" s="3" t="s">
        <v>5536</v>
      </c>
      <c r="K696" s="3" t="s">
        <v>5727</v>
      </c>
      <c r="L696" s="8" t="str">
        <f>HYPERLINK("http://slimages.macys.com/is/image/MCY/13847415 ")</f>
        <v xml:space="preserve">http://slimages.macys.com/is/image/MCY/13847415 </v>
      </c>
    </row>
    <row r="697" spans="1:12" ht="24.75" x14ac:dyDescent="0.25">
      <c r="A697" s="6" t="s">
        <v>5150</v>
      </c>
      <c r="B697" s="3" t="s">
        <v>6706</v>
      </c>
      <c r="C697" s="4">
        <v>1</v>
      </c>
      <c r="D697" s="5">
        <v>19.989999999999998</v>
      </c>
      <c r="E697" s="4">
        <v>10008581400</v>
      </c>
      <c r="F697" s="3" t="s">
        <v>5532</v>
      </c>
      <c r="G697" s="7" t="s">
        <v>6252</v>
      </c>
      <c r="H697" s="3" t="s">
        <v>6652</v>
      </c>
      <c r="I697" s="3" t="s">
        <v>6681</v>
      </c>
      <c r="J697" s="3" t="s">
        <v>5536</v>
      </c>
      <c r="K697" s="3" t="s">
        <v>6316</v>
      </c>
      <c r="L697" s="8" t="str">
        <f>HYPERLINK("http://slimages.macys.com/is/image/MCY/15899025 ")</f>
        <v xml:space="preserve">http://slimages.macys.com/is/image/MCY/15899025 </v>
      </c>
    </row>
    <row r="698" spans="1:12" ht="24.75" x14ac:dyDescent="0.25">
      <c r="A698" s="6" t="s">
        <v>6707</v>
      </c>
      <c r="B698" s="3" t="s">
        <v>6708</v>
      </c>
      <c r="C698" s="4">
        <v>1</v>
      </c>
      <c r="D698" s="5">
        <v>19.989999999999998</v>
      </c>
      <c r="E698" s="4">
        <v>10007798500</v>
      </c>
      <c r="F698" s="3" t="s">
        <v>5578</v>
      </c>
      <c r="G698" s="7" t="s">
        <v>6252</v>
      </c>
      <c r="H698" s="3" t="s">
        <v>6652</v>
      </c>
      <c r="I698" s="3" t="s">
        <v>6681</v>
      </c>
      <c r="J698" s="3" t="s">
        <v>5536</v>
      </c>
      <c r="K698" s="3" t="s">
        <v>6316</v>
      </c>
      <c r="L698" s="8" t="str">
        <f>HYPERLINK("http://slimages.macys.com/is/image/MCY/15188532 ")</f>
        <v xml:space="preserve">http://slimages.macys.com/is/image/MCY/15188532 </v>
      </c>
    </row>
    <row r="699" spans="1:12" ht="24.75" x14ac:dyDescent="0.25">
      <c r="A699" s="6" t="s">
        <v>5173</v>
      </c>
      <c r="B699" s="3" t="s">
        <v>5149</v>
      </c>
      <c r="C699" s="4">
        <v>1</v>
      </c>
      <c r="D699" s="5">
        <v>19.989999999999998</v>
      </c>
      <c r="E699" s="4">
        <v>10008453900</v>
      </c>
      <c r="F699" s="3" t="s">
        <v>5540</v>
      </c>
      <c r="G699" s="7" t="s">
        <v>6252</v>
      </c>
      <c r="H699" s="3" t="s">
        <v>6652</v>
      </c>
      <c r="I699" s="3" t="s">
        <v>6681</v>
      </c>
      <c r="J699" s="3" t="s">
        <v>5536</v>
      </c>
      <c r="K699" s="3" t="s">
        <v>6316</v>
      </c>
      <c r="L699" s="8" t="str">
        <f>HYPERLINK("http://slimages.macys.com/is/image/MCY/15916956 ")</f>
        <v xml:space="preserve">http://slimages.macys.com/is/image/MCY/15916956 </v>
      </c>
    </row>
    <row r="700" spans="1:12" ht="24.75" x14ac:dyDescent="0.25">
      <c r="A700" s="6" t="s">
        <v>545</v>
      </c>
      <c r="B700" s="3" t="s">
        <v>541</v>
      </c>
      <c r="C700" s="4">
        <v>1</v>
      </c>
      <c r="D700" s="5">
        <v>19.989999999999998</v>
      </c>
      <c r="E700" s="4">
        <v>10007798300</v>
      </c>
      <c r="F700" s="3" t="s">
        <v>5540</v>
      </c>
      <c r="G700" s="7" t="s">
        <v>6252</v>
      </c>
      <c r="H700" s="3" t="s">
        <v>6652</v>
      </c>
      <c r="I700" s="3" t="s">
        <v>6681</v>
      </c>
      <c r="J700" s="3" t="s">
        <v>5536</v>
      </c>
      <c r="K700" s="3" t="s">
        <v>6316</v>
      </c>
      <c r="L700" s="8" t="str">
        <f>HYPERLINK("http://slimages.macys.com/is/image/MCY/14912131 ")</f>
        <v xml:space="preserve">http://slimages.macys.com/is/image/MCY/14912131 </v>
      </c>
    </row>
    <row r="701" spans="1:12" ht="24.75" x14ac:dyDescent="0.25">
      <c r="A701" s="6" t="s">
        <v>537</v>
      </c>
      <c r="B701" s="3" t="s">
        <v>6722</v>
      </c>
      <c r="C701" s="4">
        <v>1</v>
      </c>
      <c r="D701" s="5">
        <v>19.989999999999998</v>
      </c>
      <c r="E701" s="4">
        <v>10007797100</v>
      </c>
      <c r="F701" s="3" t="s">
        <v>5532</v>
      </c>
      <c r="G701" s="7" t="s">
        <v>6252</v>
      </c>
      <c r="H701" s="3" t="s">
        <v>6652</v>
      </c>
      <c r="I701" s="3" t="s">
        <v>6686</v>
      </c>
      <c r="J701" s="3" t="s">
        <v>5536</v>
      </c>
      <c r="K701" s="3" t="s">
        <v>6316</v>
      </c>
      <c r="L701" s="8" t="str">
        <f>HYPERLINK("http://slimages.macys.com/is/image/MCY/13936361 ")</f>
        <v xml:space="preserve">http://slimages.macys.com/is/image/MCY/13936361 </v>
      </c>
    </row>
    <row r="702" spans="1:12" ht="24.75" x14ac:dyDescent="0.25">
      <c r="A702" s="6" t="s">
        <v>6684</v>
      </c>
      <c r="B702" s="3" t="s">
        <v>6685</v>
      </c>
      <c r="C702" s="4">
        <v>2</v>
      </c>
      <c r="D702" s="5">
        <v>39.979999999999997</v>
      </c>
      <c r="E702" s="4">
        <v>10008574900</v>
      </c>
      <c r="F702" s="3" t="s">
        <v>6300</v>
      </c>
      <c r="G702" s="7" t="s">
        <v>6252</v>
      </c>
      <c r="H702" s="3" t="s">
        <v>6652</v>
      </c>
      <c r="I702" s="3" t="s">
        <v>6686</v>
      </c>
      <c r="J702" s="3" t="s">
        <v>5536</v>
      </c>
      <c r="K702" s="3" t="s">
        <v>6316</v>
      </c>
      <c r="L702" s="8" t="str">
        <f>HYPERLINK("http://slimages.macys.com/is/image/MCY/16174384 ")</f>
        <v xml:space="preserve">http://slimages.macys.com/is/image/MCY/16174384 </v>
      </c>
    </row>
    <row r="703" spans="1:12" ht="24.75" x14ac:dyDescent="0.25">
      <c r="A703" s="6" t="s">
        <v>6704</v>
      </c>
      <c r="B703" s="3" t="s">
        <v>6698</v>
      </c>
      <c r="C703" s="4">
        <v>1</v>
      </c>
      <c r="D703" s="5">
        <v>19.989999999999998</v>
      </c>
      <c r="E703" s="4">
        <v>10008526500</v>
      </c>
      <c r="F703" s="3" t="s">
        <v>5532</v>
      </c>
      <c r="G703" s="7" t="s">
        <v>6252</v>
      </c>
      <c r="H703" s="3" t="s">
        <v>6652</v>
      </c>
      <c r="I703" s="3" t="s">
        <v>6686</v>
      </c>
      <c r="J703" s="3" t="s">
        <v>5536</v>
      </c>
      <c r="K703" s="3" t="s">
        <v>6316</v>
      </c>
      <c r="L703" s="8" t="str">
        <f>HYPERLINK("http://slimages.macys.com/is/image/MCY/14814865 ")</f>
        <v xml:space="preserve">http://slimages.macys.com/is/image/MCY/14814865 </v>
      </c>
    </row>
    <row r="704" spans="1:12" ht="24.75" x14ac:dyDescent="0.25">
      <c r="A704" s="6" t="s">
        <v>557</v>
      </c>
      <c r="B704" s="3" t="s">
        <v>6747</v>
      </c>
      <c r="C704" s="4">
        <v>1</v>
      </c>
      <c r="D704" s="5">
        <v>19.989999999999998</v>
      </c>
      <c r="E704" s="4">
        <v>10007022700</v>
      </c>
      <c r="F704" s="3" t="s">
        <v>5540</v>
      </c>
      <c r="G704" s="7" t="s">
        <v>6252</v>
      </c>
      <c r="H704" s="3" t="s">
        <v>6652</v>
      </c>
      <c r="I704" s="3" t="s">
        <v>6681</v>
      </c>
      <c r="J704" s="3" t="s">
        <v>5536</v>
      </c>
      <c r="K704" s="3" t="s">
        <v>6748</v>
      </c>
      <c r="L704" s="8" t="str">
        <f>HYPERLINK("http://slimages.macys.com/is/image/MCY/13287456 ")</f>
        <v xml:space="preserve">http://slimages.macys.com/is/image/MCY/13287456 </v>
      </c>
    </row>
    <row r="705" spans="1:12" ht="24.75" x14ac:dyDescent="0.25">
      <c r="A705" s="6" t="s">
        <v>5174</v>
      </c>
      <c r="B705" s="3" t="s">
        <v>5141</v>
      </c>
      <c r="C705" s="4">
        <v>1</v>
      </c>
      <c r="D705" s="5">
        <v>19.989999999999998</v>
      </c>
      <c r="E705" s="4">
        <v>10007797500</v>
      </c>
      <c r="F705" s="3" t="s">
        <v>5540</v>
      </c>
      <c r="G705" s="7" t="s">
        <v>6252</v>
      </c>
      <c r="H705" s="3" t="s">
        <v>6652</v>
      </c>
      <c r="I705" s="3" t="s">
        <v>6681</v>
      </c>
      <c r="J705" s="3" t="s">
        <v>5536</v>
      </c>
      <c r="K705" s="3" t="s">
        <v>6748</v>
      </c>
      <c r="L705" s="8" t="str">
        <f>HYPERLINK("http://slimages.macys.com/is/image/MCY/13784275 ")</f>
        <v xml:space="preserve">http://slimages.macys.com/is/image/MCY/13784275 </v>
      </c>
    </row>
    <row r="706" spans="1:12" ht="24.75" x14ac:dyDescent="0.25">
      <c r="A706" s="6" t="s">
        <v>533</v>
      </c>
      <c r="B706" s="3" t="s">
        <v>534</v>
      </c>
      <c r="C706" s="4">
        <v>1</v>
      </c>
      <c r="D706" s="5">
        <v>19.989999999999998</v>
      </c>
      <c r="E706" s="4">
        <v>10008575900</v>
      </c>
      <c r="F706" s="3" t="s">
        <v>5532</v>
      </c>
      <c r="G706" s="7" t="s">
        <v>6252</v>
      </c>
      <c r="H706" s="3" t="s">
        <v>6652</v>
      </c>
      <c r="I706" s="3" t="s">
        <v>6686</v>
      </c>
      <c r="J706" s="3" t="s">
        <v>5536</v>
      </c>
      <c r="K706" s="3" t="s">
        <v>6303</v>
      </c>
      <c r="L706" s="8" t="str">
        <f>HYPERLINK("http://slimages.macys.com/is/image/MCY/15271867 ")</f>
        <v xml:space="preserve">http://slimages.macys.com/is/image/MCY/15271867 </v>
      </c>
    </row>
    <row r="707" spans="1:12" ht="24.75" x14ac:dyDescent="0.25">
      <c r="A707" s="6" t="s">
        <v>268</v>
      </c>
      <c r="B707" s="3" t="s">
        <v>269</v>
      </c>
      <c r="C707" s="4">
        <v>1</v>
      </c>
      <c r="D707" s="5">
        <v>35</v>
      </c>
      <c r="E707" s="4">
        <v>10007113100</v>
      </c>
      <c r="F707" s="3" t="s">
        <v>5783</v>
      </c>
      <c r="G707" s="7" t="s">
        <v>5582</v>
      </c>
      <c r="H707" s="3" t="s">
        <v>3941</v>
      </c>
      <c r="I707" s="3" t="s">
        <v>3942</v>
      </c>
      <c r="J707" s="3" t="s">
        <v>5536</v>
      </c>
      <c r="K707" s="3" t="s">
        <v>6021</v>
      </c>
      <c r="L707" s="8" t="str">
        <f>HYPERLINK("http://slimages.macys.com/is/image/MCY/12800800 ")</f>
        <v xml:space="preserve">http://slimages.macys.com/is/image/MCY/12800800 </v>
      </c>
    </row>
    <row r="708" spans="1:12" ht="24.75" x14ac:dyDescent="0.25">
      <c r="A708" s="6" t="s">
        <v>6741</v>
      </c>
      <c r="B708" s="3" t="s">
        <v>6657</v>
      </c>
      <c r="C708" s="4">
        <v>1</v>
      </c>
      <c r="D708" s="5">
        <v>19.989999999999998</v>
      </c>
      <c r="E708" s="4">
        <v>10008582700</v>
      </c>
      <c r="F708" s="3" t="s">
        <v>5625</v>
      </c>
      <c r="G708" s="7" t="s">
        <v>6252</v>
      </c>
      <c r="H708" s="3" t="s">
        <v>6652</v>
      </c>
      <c r="I708" s="3" t="s">
        <v>6681</v>
      </c>
      <c r="J708" s="3" t="s">
        <v>5536</v>
      </c>
      <c r="K708" s="3" t="s">
        <v>6316</v>
      </c>
      <c r="L708" s="8" t="str">
        <f>HYPERLINK("http://slimages.macys.com/is/image/MCY/15611837 ")</f>
        <v xml:space="preserve">http://slimages.macys.com/is/image/MCY/15611837 </v>
      </c>
    </row>
    <row r="709" spans="1:12" ht="24.75" x14ac:dyDescent="0.25">
      <c r="A709" s="6" t="s">
        <v>5148</v>
      </c>
      <c r="B709" s="3" t="s">
        <v>5149</v>
      </c>
      <c r="C709" s="4">
        <v>1</v>
      </c>
      <c r="D709" s="5">
        <v>19.989999999999998</v>
      </c>
      <c r="E709" s="4">
        <v>10008453900</v>
      </c>
      <c r="F709" s="3" t="s">
        <v>5661</v>
      </c>
      <c r="G709" s="7" t="s">
        <v>6252</v>
      </c>
      <c r="H709" s="3" t="s">
        <v>6652</v>
      </c>
      <c r="I709" s="3" t="s">
        <v>6681</v>
      </c>
      <c r="J709" s="3" t="s">
        <v>5536</v>
      </c>
      <c r="K709" s="3" t="s">
        <v>6316</v>
      </c>
      <c r="L709" s="8" t="str">
        <f>HYPERLINK("http://slimages.macys.com/is/image/MCY/15916956 ")</f>
        <v xml:space="preserve">http://slimages.macys.com/is/image/MCY/15916956 </v>
      </c>
    </row>
    <row r="710" spans="1:12" ht="24.75" x14ac:dyDescent="0.25">
      <c r="A710" s="6" t="s">
        <v>4413</v>
      </c>
      <c r="B710" s="3" t="s">
        <v>4414</v>
      </c>
      <c r="C710" s="4">
        <v>1</v>
      </c>
      <c r="D710" s="5">
        <v>19.989999999999998</v>
      </c>
      <c r="E710" s="4">
        <v>10008575300</v>
      </c>
      <c r="F710" s="3" t="s">
        <v>5532</v>
      </c>
      <c r="G710" s="7" t="s">
        <v>6252</v>
      </c>
      <c r="H710" s="3" t="s">
        <v>6652</v>
      </c>
      <c r="I710" s="3" t="s">
        <v>6686</v>
      </c>
      <c r="J710" s="3" t="s">
        <v>5536</v>
      </c>
      <c r="K710" s="3" t="s">
        <v>6316</v>
      </c>
      <c r="L710" s="8" t="str">
        <f>HYPERLINK("http://slimages.macys.com/is/image/MCY/15899629 ")</f>
        <v xml:space="preserve">http://slimages.macys.com/is/image/MCY/15899629 </v>
      </c>
    </row>
    <row r="711" spans="1:12" ht="24.75" x14ac:dyDescent="0.25">
      <c r="A711" s="6" t="s">
        <v>6727</v>
      </c>
      <c r="B711" s="3" t="s">
        <v>6688</v>
      </c>
      <c r="C711" s="4">
        <v>1</v>
      </c>
      <c r="D711" s="5">
        <v>19.989999999999998</v>
      </c>
      <c r="E711" s="4">
        <v>10008575200</v>
      </c>
      <c r="F711" s="3" t="s">
        <v>5625</v>
      </c>
      <c r="G711" s="7" t="s">
        <v>6252</v>
      </c>
      <c r="H711" s="3" t="s">
        <v>6652</v>
      </c>
      <c r="I711" s="3" t="s">
        <v>6686</v>
      </c>
      <c r="J711" s="3" t="s">
        <v>5536</v>
      </c>
      <c r="K711" s="3" t="s">
        <v>6316</v>
      </c>
      <c r="L711" s="8" t="str">
        <f>HYPERLINK("http://slimages.macys.com/is/image/MCY/15899484 ")</f>
        <v xml:space="preserve">http://slimages.macys.com/is/image/MCY/15899484 </v>
      </c>
    </row>
    <row r="712" spans="1:12" ht="24.75" x14ac:dyDescent="0.25">
      <c r="A712" s="6" t="s">
        <v>6744</v>
      </c>
      <c r="B712" s="3" t="s">
        <v>6722</v>
      </c>
      <c r="C712" s="4">
        <v>1</v>
      </c>
      <c r="D712" s="5">
        <v>19.989999999999998</v>
      </c>
      <c r="E712" s="4">
        <v>10007797100</v>
      </c>
      <c r="F712" s="3" t="s">
        <v>5552</v>
      </c>
      <c r="G712" s="7" t="s">
        <v>6252</v>
      </c>
      <c r="H712" s="3" t="s">
        <v>6652</v>
      </c>
      <c r="I712" s="3" t="s">
        <v>6686</v>
      </c>
      <c r="J712" s="3" t="s">
        <v>5536</v>
      </c>
      <c r="K712" s="3" t="s">
        <v>6316</v>
      </c>
      <c r="L712" s="8" t="str">
        <f>HYPERLINK("http://slimages.macys.com/is/image/MCY/13936361 ")</f>
        <v xml:space="preserve">http://slimages.macys.com/is/image/MCY/13936361 </v>
      </c>
    </row>
    <row r="713" spans="1:12" ht="24.75" x14ac:dyDescent="0.25">
      <c r="A713" s="6" t="s">
        <v>270</v>
      </c>
      <c r="B713" s="3" t="s">
        <v>271</v>
      </c>
      <c r="C713" s="4">
        <v>1</v>
      </c>
      <c r="D713" s="5">
        <v>20</v>
      </c>
      <c r="E713" s="4" t="s">
        <v>272</v>
      </c>
      <c r="F713" s="3" t="s">
        <v>5532</v>
      </c>
      <c r="G713" s="7" t="s">
        <v>5562</v>
      </c>
      <c r="H713" s="3" t="s">
        <v>6492</v>
      </c>
      <c r="I713" s="3" t="s">
        <v>6604</v>
      </c>
      <c r="J713" s="3" t="s">
        <v>5536</v>
      </c>
      <c r="K713" s="3" t="s">
        <v>5594</v>
      </c>
      <c r="L713" s="8" t="str">
        <f>HYPERLINK("http://slimages.macys.com/is/image/MCY/11297137 ")</f>
        <v xml:space="preserve">http://slimages.macys.com/is/image/MCY/11297137 </v>
      </c>
    </row>
    <row r="714" spans="1:12" x14ac:dyDescent="0.25">
      <c r="A714" s="6" t="s">
        <v>273</v>
      </c>
      <c r="B714" s="3" t="s">
        <v>274</v>
      </c>
      <c r="C714" s="4">
        <v>1</v>
      </c>
      <c r="D714" s="5">
        <v>19.989999999999998</v>
      </c>
      <c r="E714" s="4" t="s">
        <v>275</v>
      </c>
      <c r="F714" s="3" t="s">
        <v>5532</v>
      </c>
      <c r="G714" s="7" t="s">
        <v>5598</v>
      </c>
      <c r="H714" s="3" t="s">
        <v>6003</v>
      </c>
      <c r="I714" s="3" t="s">
        <v>6004</v>
      </c>
      <c r="J714" s="3" t="s">
        <v>5536</v>
      </c>
      <c r="K714" s="3" t="s">
        <v>5594</v>
      </c>
      <c r="L714" s="8" t="str">
        <f>HYPERLINK("http://slimages.macys.com/is/image/MCY/14412211 ")</f>
        <v xml:space="preserve">http://slimages.macys.com/is/image/MCY/14412211 </v>
      </c>
    </row>
    <row r="715" spans="1:12" ht="24.75" x14ac:dyDescent="0.25">
      <c r="A715" s="6" t="s">
        <v>276</v>
      </c>
      <c r="B715" s="3" t="s">
        <v>277</v>
      </c>
      <c r="C715" s="4">
        <v>1</v>
      </c>
      <c r="D715" s="5">
        <v>19.989999999999998</v>
      </c>
      <c r="E715" s="4" t="s">
        <v>278</v>
      </c>
      <c r="F715" s="3" t="s">
        <v>6275</v>
      </c>
      <c r="G715" s="7" t="s">
        <v>5533</v>
      </c>
      <c r="H715" s="3" t="s">
        <v>6003</v>
      </c>
      <c r="I715" s="3" t="s">
        <v>6004</v>
      </c>
      <c r="J715" s="3" t="s">
        <v>5536</v>
      </c>
      <c r="K715" s="3" t="s">
        <v>5594</v>
      </c>
      <c r="L715" s="8" t="str">
        <f>HYPERLINK("http://slimages.macys.com/is/image/MCY/14412211 ")</f>
        <v xml:space="preserve">http://slimages.macys.com/is/image/MCY/14412211 </v>
      </c>
    </row>
    <row r="716" spans="1:12" ht="60.75" x14ac:dyDescent="0.25">
      <c r="A716" s="6" t="s">
        <v>279</v>
      </c>
      <c r="B716" s="3" t="s">
        <v>6762</v>
      </c>
      <c r="C716" s="4">
        <v>1</v>
      </c>
      <c r="D716" s="5">
        <v>30</v>
      </c>
      <c r="E716" s="4" t="s">
        <v>6763</v>
      </c>
      <c r="F716" s="3" t="s">
        <v>5540</v>
      </c>
      <c r="G716" s="7" t="s">
        <v>5598</v>
      </c>
      <c r="H716" s="3" t="s">
        <v>6019</v>
      </c>
      <c r="I716" s="3" t="s">
        <v>6020</v>
      </c>
      <c r="J716" s="3" t="s">
        <v>5536</v>
      </c>
      <c r="K716" s="3" t="s">
        <v>6764</v>
      </c>
      <c r="L716" s="8" t="str">
        <f>HYPERLINK("http://slimages.macys.com/is/image/MCY/14616807 ")</f>
        <v xml:space="preserve">http://slimages.macys.com/is/image/MCY/14616807 </v>
      </c>
    </row>
    <row r="717" spans="1:12" ht="24.75" x14ac:dyDescent="0.25">
      <c r="A717" s="6" t="s">
        <v>280</v>
      </c>
      <c r="B717" s="3" t="s">
        <v>281</v>
      </c>
      <c r="C717" s="4">
        <v>1</v>
      </c>
      <c r="D717" s="5">
        <v>30</v>
      </c>
      <c r="E717" s="4">
        <v>10006347000</v>
      </c>
      <c r="F717" s="3" t="s">
        <v>5578</v>
      </c>
      <c r="G717" s="7" t="s">
        <v>5598</v>
      </c>
      <c r="H717" s="3" t="s">
        <v>3941</v>
      </c>
      <c r="I717" s="3" t="s">
        <v>3942</v>
      </c>
      <c r="J717" s="3" t="s">
        <v>5536</v>
      </c>
      <c r="K717" s="3" t="s">
        <v>6021</v>
      </c>
      <c r="L717" s="8" t="str">
        <f>HYPERLINK("http://slimages.macys.com/is/image/MCY/14020446 ")</f>
        <v xml:space="preserve">http://slimages.macys.com/is/image/MCY/14020446 </v>
      </c>
    </row>
    <row r="718" spans="1:12" ht="24.75" x14ac:dyDescent="0.25">
      <c r="A718" s="6" t="s">
        <v>282</v>
      </c>
      <c r="B718" s="3" t="s">
        <v>281</v>
      </c>
      <c r="C718" s="4">
        <v>1</v>
      </c>
      <c r="D718" s="5">
        <v>30</v>
      </c>
      <c r="E718" s="4">
        <v>10006347000</v>
      </c>
      <c r="F718" s="3" t="s">
        <v>5925</v>
      </c>
      <c r="G718" s="7" t="s">
        <v>5560</v>
      </c>
      <c r="H718" s="3" t="s">
        <v>3941</v>
      </c>
      <c r="I718" s="3" t="s">
        <v>3942</v>
      </c>
      <c r="J718" s="3" t="s">
        <v>5536</v>
      </c>
      <c r="K718" s="3" t="s">
        <v>6021</v>
      </c>
      <c r="L718" s="8" t="str">
        <f>HYPERLINK("http://slimages.macys.com/is/image/MCY/14020446 ")</f>
        <v xml:space="preserve">http://slimages.macys.com/is/image/MCY/14020446 </v>
      </c>
    </row>
    <row r="719" spans="1:12" ht="24.75" x14ac:dyDescent="0.25">
      <c r="A719" s="6" t="s">
        <v>283</v>
      </c>
      <c r="B719" s="3" t="s">
        <v>281</v>
      </c>
      <c r="C719" s="4">
        <v>1</v>
      </c>
      <c r="D719" s="5">
        <v>30</v>
      </c>
      <c r="E719" s="4">
        <v>10006347000</v>
      </c>
      <c r="F719" s="3" t="s">
        <v>5578</v>
      </c>
      <c r="G719" s="7" t="s">
        <v>5562</v>
      </c>
      <c r="H719" s="3" t="s">
        <v>3941</v>
      </c>
      <c r="I719" s="3" t="s">
        <v>3942</v>
      </c>
      <c r="J719" s="3" t="s">
        <v>5536</v>
      </c>
      <c r="K719" s="3" t="s">
        <v>6021</v>
      </c>
      <c r="L719" s="8" t="str">
        <f>HYPERLINK("http://slimages.macys.com/is/image/MCY/14020446 ")</f>
        <v xml:space="preserve">http://slimages.macys.com/is/image/MCY/14020446 </v>
      </c>
    </row>
    <row r="720" spans="1:12" ht="24.75" x14ac:dyDescent="0.25">
      <c r="A720" s="6" t="s">
        <v>284</v>
      </c>
      <c r="B720" s="3" t="s">
        <v>281</v>
      </c>
      <c r="C720" s="4">
        <v>1</v>
      </c>
      <c r="D720" s="5">
        <v>30</v>
      </c>
      <c r="E720" s="4">
        <v>10006347000</v>
      </c>
      <c r="F720" s="3" t="s">
        <v>5925</v>
      </c>
      <c r="G720" s="7" t="s">
        <v>5598</v>
      </c>
      <c r="H720" s="3" t="s">
        <v>3941</v>
      </c>
      <c r="I720" s="3" t="s">
        <v>3942</v>
      </c>
      <c r="J720" s="3" t="s">
        <v>5536</v>
      </c>
      <c r="K720" s="3" t="s">
        <v>6021</v>
      </c>
      <c r="L720" s="8" t="str">
        <f>HYPERLINK("http://slimages.macys.com/is/image/MCY/14020446 ")</f>
        <v xml:space="preserve">http://slimages.macys.com/is/image/MCY/14020446 </v>
      </c>
    </row>
    <row r="721" spans="1:12" x14ac:dyDescent="0.25">
      <c r="A721" s="6" t="s">
        <v>285</v>
      </c>
      <c r="B721" s="3" t="s">
        <v>6767</v>
      </c>
      <c r="C721" s="4">
        <v>1</v>
      </c>
      <c r="D721" s="5">
        <v>24.99</v>
      </c>
      <c r="E721" s="4" t="s">
        <v>6768</v>
      </c>
      <c r="F721" s="3" t="s">
        <v>5820</v>
      </c>
      <c r="G721" s="7" t="s">
        <v>5560</v>
      </c>
      <c r="H721" s="3" t="s">
        <v>6003</v>
      </c>
      <c r="I721" s="3" t="s">
        <v>6004</v>
      </c>
      <c r="J721" s="3" t="s">
        <v>5536</v>
      </c>
      <c r="K721" s="3" t="s">
        <v>5594</v>
      </c>
      <c r="L721" s="8" t="str">
        <f t="shared" ref="L721:L726" si="8">HYPERLINK("http://slimages.macys.com/is/image/MCY/14456412 ")</f>
        <v xml:space="preserve">http://slimages.macys.com/is/image/MCY/14456412 </v>
      </c>
    </row>
    <row r="722" spans="1:12" x14ac:dyDescent="0.25">
      <c r="A722" s="6" t="s">
        <v>286</v>
      </c>
      <c r="B722" s="3" t="s">
        <v>6767</v>
      </c>
      <c r="C722" s="4">
        <v>1</v>
      </c>
      <c r="D722" s="5">
        <v>24.99</v>
      </c>
      <c r="E722" s="4" t="s">
        <v>6768</v>
      </c>
      <c r="F722" s="3" t="s">
        <v>5578</v>
      </c>
      <c r="G722" s="7" t="s">
        <v>5562</v>
      </c>
      <c r="H722" s="3" t="s">
        <v>6003</v>
      </c>
      <c r="I722" s="3" t="s">
        <v>6004</v>
      </c>
      <c r="J722" s="3" t="s">
        <v>5536</v>
      </c>
      <c r="K722" s="3" t="s">
        <v>5594</v>
      </c>
      <c r="L722" s="8" t="str">
        <f t="shared" si="8"/>
        <v xml:space="preserve">http://slimages.macys.com/is/image/MCY/14456412 </v>
      </c>
    </row>
    <row r="723" spans="1:12" x14ac:dyDescent="0.25">
      <c r="A723" s="6" t="s">
        <v>287</v>
      </c>
      <c r="B723" s="3" t="s">
        <v>6767</v>
      </c>
      <c r="C723" s="4">
        <v>1</v>
      </c>
      <c r="D723" s="5">
        <v>24.99</v>
      </c>
      <c r="E723" s="4" t="s">
        <v>6768</v>
      </c>
      <c r="F723" s="3" t="s">
        <v>5754</v>
      </c>
      <c r="G723" s="7" t="s">
        <v>5598</v>
      </c>
      <c r="H723" s="3" t="s">
        <v>6003</v>
      </c>
      <c r="I723" s="3" t="s">
        <v>6004</v>
      </c>
      <c r="J723" s="3" t="s">
        <v>5536</v>
      </c>
      <c r="K723" s="3" t="s">
        <v>5594</v>
      </c>
      <c r="L723" s="8" t="str">
        <f t="shared" si="8"/>
        <v xml:space="preserve">http://slimages.macys.com/is/image/MCY/14456412 </v>
      </c>
    </row>
    <row r="724" spans="1:12" x14ac:dyDescent="0.25">
      <c r="A724" s="6" t="s">
        <v>288</v>
      </c>
      <c r="B724" s="3" t="s">
        <v>6767</v>
      </c>
      <c r="C724" s="4">
        <v>2</v>
      </c>
      <c r="D724" s="5">
        <v>49.98</v>
      </c>
      <c r="E724" s="4" t="s">
        <v>6768</v>
      </c>
      <c r="F724" s="3" t="s">
        <v>5754</v>
      </c>
      <c r="G724" s="7" t="s">
        <v>5562</v>
      </c>
      <c r="H724" s="3" t="s">
        <v>6003</v>
      </c>
      <c r="I724" s="3" t="s">
        <v>6004</v>
      </c>
      <c r="J724" s="3" t="s">
        <v>5536</v>
      </c>
      <c r="K724" s="3" t="s">
        <v>5594</v>
      </c>
      <c r="L724" s="8" t="str">
        <f t="shared" si="8"/>
        <v xml:space="preserve">http://slimages.macys.com/is/image/MCY/14456412 </v>
      </c>
    </row>
    <row r="725" spans="1:12" x14ac:dyDescent="0.25">
      <c r="A725" s="6" t="s">
        <v>289</v>
      </c>
      <c r="B725" s="3" t="s">
        <v>6767</v>
      </c>
      <c r="C725" s="4">
        <v>1</v>
      </c>
      <c r="D725" s="5">
        <v>24.99</v>
      </c>
      <c r="E725" s="4" t="s">
        <v>6768</v>
      </c>
      <c r="F725" s="3" t="s">
        <v>5820</v>
      </c>
      <c r="G725" s="7" t="s">
        <v>5598</v>
      </c>
      <c r="H725" s="3" t="s">
        <v>6003</v>
      </c>
      <c r="I725" s="3" t="s">
        <v>6004</v>
      </c>
      <c r="J725" s="3" t="s">
        <v>5536</v>
      </c>
      <c r="K725" s="3" t="s">
        <v>5594</v>
      </c>
      <c r="L725" s="8" t="str">
        <f t="shared" si="8"/>
        <v xml:space="preserve">http://slimages.macys.com/is/image/MCY/14456412 </v>
      </c>
    </row>
    <row r="726" spans="1:12" ht="24.75" x14ac:dyDescent="0.25">
      <c r="A726" s="6" t="s">
        <v>290</v>
      </c>
      <c r="B726" s="3" t="s">
        <v>6767</v>
      </c>
      <c r="C726" s="4">
        <v>1</v>
      </c>
      <c r="D726" s="5">
        <v>24.99</v>
      </c>
      <c r="E726" s="4" t="s">
        <v>6768</v>
      </c>
      <c r="F726" s="3" t="s">
        <v>6275</v>
      </c>
      <c r="G726" s="7" t="s">
        <v>5562</v>
      </c>
      <c r="H726" s="3" t="s">
        <v>6003</v>
      </c>
      <c r="I726" s="3" t="s">
        <v>6004</v>
      </c>
      <c r="J726" s="3" t="s">
        <v>5536</v>
      </c>
      <c r="K726" s="3" t="s">
        <v>5594</v>
      </c>
      <c r="L726" s="8" t="str">
        <f t="shared" si="8"/>
        <v xml:space="preserve">http://slimages.macys.com/is/image/MCY/14456412 </v>
      </c>
    </row>
    <row r="727" spans="1:12" ht="24.75" x14ac:dyDescent="0.25">
      <c r="A727" s="6" t="s">
        <v>291</v>
      </c>
      <c r="B727" s="3" t="s">
        <v>5185</v>
      </c>
      <c r="C727" s="4">
        <v>1</v>
      </c>
      <c r="D727" s="5">
        <v>12.99</v>
      </c>
      <c r="E727" s="4" t="s">
        <v>5186</v>
      </c>
      <c r="F727" s="3" t="s">
        <v>5661</v>
      </c>
      <c r="G727" s="7" t="s">
        <v>5768</v>
      </c>
      <c r="H727" s="3" t="s">
        <v>5825</v>
      </c>
      <c r="I727" s="3" t="s">
        <v>5826</v>
      </c>
      <c r="J727" s="3" t="s">
        <v>5536</v>
      </c>
      <c r="K727" s="3" t="s">
        <v>6610</v>
      </c>
      <c r="L727" s="8" t="str">
        <f>HYPERLINK("http://slimages.macys.com/is/image/MCY/10469369 ")</f>
        <v xml:space="preserve">http://slimages.macys.com/is/image/MCY/10469369 </v>
      </c>
    </row>
    <row r="728" spans="1:12" ht="24.75" x14ac:dyDescent="0.25">
      <c r="A728" s="6" t="s">
        <v>292</v>
      </c>
      <c r="B728" s="3" t="s">
        <v>293</v>
      </c>
      <c r="C728" s="4">
        <v>1</v>
      </c>
      <c r="D728" s="5">
        <v>25</v>
      </c>
      <c r="E728" s="4">
        <v>10007332200</v>
      </c>
      <c r="F728" s="3" t="s">
        <v>5566</v>
      </c>
      <c r="G728" s="7" t="s">
        <v>5533</v>
      </c>
      <c r="H728" s="3" t="s">
        <v>3941</v>
      </c>
      <c r="I728" s="3" t="s">
        <v>3942</v>
      </c>
      <c r="J728" s="3" t="s">
        <v>5536</v>
      </c>
      <c r="K728" s="3" t="s">
        <v>6021</v>
      </c>
      <c r="L728" s="8" t="str">
        <f>HYPERLINK("http://slimages.macys.com/is/image/MCY/15784705 ")</f>
        <v xml:space="preserve">http://slimages.macys.com/is/image/MCY/15784705 </v>
      </c>
    </row>
    <row r="729" spans="1:12" ht="24.75" x14ac:dyDescent="0.25">
      <c r="A729" s="6" t="s">
        <v>6769</v>
      </c>
      <c r="B729" s="3" t="s">
        <v>6770</v>
      </c>
      <c r="C729" s="4">
        <v>1</v>
      </c>
      <c r="D729" s="5">
        <v>16.25</v>
      </c>
      <c r="E729" s="4" t="s">
        <v>6771</v>
      </c>
      <c r="F729" s="3" t="s">
        <v>5540</v>
      </c>
      <c r="G729" s="7" t="s">
        <v>6772</v>
      </c>
      <c r="H729" s="3" t="s">
        <v>5842</v>
      </c>
      <c r="I729" s="3" t="s">
        <v>6773</v>
      </c>
      <c r="J729" s="3" t="s">
        <v>5536</v>
      </c>
      <c r="K729" s="3" t="s">
        <v>6774</v>
      </c>
      <c r="L729" s="8" t="str">
        <f>HYPERLINK("http://slimages.macys.com/is/image/MCY/14536305 ")</f>
        <v xml:space="preserve">http://slimages.macys.com/is/image/MCY/14536305 </v>
      </c>
    </row>
    <row r="730" spans="1:12" ht="24.75" x14ac:dyDescent="0.25">
      <c r="A730" s="6" t="s">
        <v>567</v>
      </c>
      <c r="B730" s="3" t="s">
        <v>568</v>
      </c>
      <c r="C730" s="4">
        <v>2</v>
      </c>
      <c r="D730" s="5">
        <v>32.5</v>
      </c>
      <c r="E730" s="4" t="s">
        <v>569</v>
      </c>
      <c r="F730" s="3" t="s">
        <v>5540</v>
      </c>
      <c r="G730" s="7" t="s">
        <v>6772</v>
      </c>
      <c r="H730" s="3" t="s">
        <v>5842</v>
      </c>
      <c r="I730" s="3" t="s">
        <v>6773</v>
      </c>
      <c r="J730" s="3" t="s">
        <v>5536</v>
      </c>
      <c r="K730" s="3" t="s">
        <v>6774</v>
      </c>
      <c r="L730" s="8" t="str">
        <f>HYPERLINK("http://slimages.macys.com/is/image/MCY/14536360 ")</f>
        <v xml:space="preserve">http://slimages.macys.com/is/image/MCY/14536360 </v>
      </c>
    </row>
    <row r="731" spans="1:12" ht="24.75" x14ac:dyDescent="0.25">
      <c r="A731" s="6" t="s">
        <v>6775</v>
      </c>
      <c r="B731" s="3" t="s">
        <v>6770</v>
      </c>
      <c r="C731" s="4">
        <v>2</v>
      </c>
      <c r="D731" s="5">
        <v>32.5</v>
      </c>
      <c r="E731" s="4" t="s">
        <v>6771</v>
      </c>
      <c r="F731" s="3" t="s">
        <v>5540</v>
      </c>
      <c r="G731" s="7" t="s">
        <v>6776</v>
      </c>
      <c r="H731" s="3" t="s">
        <v>5842</v>
      </c>
      <c r="I731" s="3" t="s">
        <v>6773</v>
      </c>
      <c r="J731" s="3" t="s">
        <v>5536</v>
      </c>
      <c r="K731" s="3" t="s">
        <v>6774</v>
      </c>
      <c r="L731" s="8" t="str">
        <f>HYPERLINK("http://slimages.macys.com/is/image/MCY/14536305 ")</f>
        <v xml:space="preserve">http://slimages.macys.com/is/image/MCY/14536305 </v>
      </c>
    </row>
    <row r="732" spans="1:12" ht="24.75" x14ac:dyDescent="0.25">
      <c r="A732" s="6" t="s">
        <v>294</v>
      </c>
      <c r="B732" s="3" t="s">
        <v>6780</v>
      </c>
      <c r="C732" s="4">
        <v>1</v>
      </c>
      <c r="D732" s="5">
        <v>12.99</v>
      </c>
      <c r="E732" s="4" t="s">
        <v>6781</v>
      </c>
      <c r="F732" s="3" t="s">
        <v>5604</v>
      </c>
      <c r="G732" s="7" t="s">
        <v>5824</v>
      </c>
      <c r="H732" s="3" t="s">
        <v>5825</v>
      </c>
      <c r="I732" s="3" t="s">
        <v>5826</v>
      </c>
      <c r="J732" s="3" t="s">
        <v>5536</v>
      </c>
      <c r="K732" s="3" t="s">
        <v>6610</v>
      </c>
      <c r="L732" s="8" t="str">
        <f>HYPERLINK("http://slimages.macys.com/is/image/MCY/10470310 ")</f>
        <v xml:space="preserve">http://slimages.macys.com/is/image/MCY/10470310 </v>
      </c>
    </row>
    <row r="733" spans="1:12" ht="24.75" x14ac:dyDescent="0.25">
      <c r="A733" s="6" t="s">
        <v>6787</v>
      </c>
      <c r="B733" s="3" t="s">
        <v>6780</v>
      </c>
      <c r="C733" s="4">
        <v>1</v>
      </c>
      <c r="D733" s="5">
        <v>12.99</v>
      </c>
      <c r="E733" s="4" t="s">
        <v>6781</v>
      </c>
      <c r="F733" s="3" t="s">
        <v>5604</v>
      </c>
      <c r="G733" s="7" t="s">
        <v>6476</v>
      </c>
      <c r="H733" s="3" t="s">
        <v>5825</v>
      </c>
      <c r="I733" s="3" t="s">
        <v>5826</v>
      </c>
      <c r="J733" s="3" t="s">
        <v>5536</v>
      </c>
      <c r="K733" s="3" t="s">
        <v>6610</v>
      </c>
      <c r="L733" s="8" t="str">
        <f>HYPERLINK("http://slimages.macys.com/is/image/MCY/10470310 ")</f>
        <v xml:space="preserve">http://slimages.macys.com/is/image/MCY/10470310 </v>
      </c>
    </row>
    <row r="734" spans="1:12" ht="24.75" x14ac:dyDescent="0.25">
      <c r="A734" s="6" t="s">
        <v>295</v>
      </c>
      <c r="B734" s="3" t="s">
        <v>296</v>
      </c>
      <c r="C734" s="4">
        <v>2</v>
      </c>
      <c r="D734" s="5">
        <v>39.979999999999997</v>
      </c>
      <c r="E734" s="4">
        <v>10006792400</v>
      </c>
      <c r="F734" s="3" t="s">
        <v>5532</v>
      </c>
      <c r="G734" s="7" t="s">
        <v>6252</v>
      </c>
      <c r="H734" s="3" t="s">
        <v>6652</v>
      </c>
      <c r="I734" s="3" t="s">
        <v>6686</v>
      </c>
      <c r="J734" s="3" t="s">
        <v>5536</v>
      </c>
      <c r="K734" s="3" t="s">
        <v>6338</v>
      </c>
      <c r="L734" s="8" t="str">
        <f>HYPERLINK("http://slimages.macys.com/is/image/MCY/12712144 ")</f>
        <v xml:space="preserve">http://slimages.macys.com/is/image/MCY/12712144 </v>
      </c>
    </row>
    <row r="735" spans="1:12" ht="24.75" x14ac:dyDescent="0.25">
      <c r="A735" s="6" t="s">
        <v>297</v>
      </c>
      <c r="B735" s="3" t="s">
        <v>298</v>
      </c>
      <c r="C735" s="4">
        <v>1</v>
      </c>
      <c r="D735" s="5">
        <v>19.989999999999998</v>
      </c>
      <c r="E735" s="4">
        <v>100017725</v>
      </c>
      <c r="F735" s="3" t="s">
        <v>6275</v>
      </c>
      <c r="G735" s="7" t="s">
        <v>5582</v>
      </c>
      <c r="H735" s="3" t="s">
        <v>5978</v>
      </c>
      <c r="I735" s="3" t="s">
        <v>1966</v>
      </c>
      <c r="J735" s="3" t="s">
        <v>5536</v>
      </c>
      <c r="K735" s="3" t="s">
        <v>299</v>
      </c>
      <c r="L735" s="8" t="str">
        <f>HYPERLINK("http://slimages.macys.com/is/image/MCY/13383492 ")</f>
        <v xml:space="preserve">http://slimages.macys.com/is/image/MCY/13383492 </v>
      </c>
    </row>
    <row r="736" spans="1:12" ht="24.75" x14ac:dyDescent="0.25">
      <c r="A736" s="6" t="s">
        <v>300</v>
      </c>
      <c r="B736" s="3" t="s">
        <v>301</v>
      </c>
      <c r="C736" s="4">
        <v>1</v>
      </c>
      <c r="D736" s="5">
        <v>24</v>
      </c>
      <c r="E736" s="4">
        <v>100084675</v>
      </c>
      <c r="F736" s="3" t="s">
        <v>5661</v>
      </c>
      <c r="G736" s="7" t="s">
        <v>5560</v>
      </c>
      <c r="H736" s="3" t="s">
        <v>6019</v>
      </c>
      <c r="I736" s="3" t="s">
        <v>2573</v>
      </c>
      <c r="J736" s="3" t="s">
        <v>5536</v>
      </c>
      <c r="K736" s="3" t="s">
        <v>5549</v>
      </c>
      <c r="L736" s="8" t="str">
        <f>HYPERLINK("http://slimages.macys.com/is/image/MCY/15863298 ")</f>
        <v xml:space="preserve">http://slimages.macys.com/is/image/MCY/15863298 </v>
      </c>
    </row>
    <row r="737" spans="1:12" x14ac:dyDescent="0.25">
      <c r="A737" s="6" t="s">
        <v>302</v>
      </c>
      <c r="B737" s="3" t="s">
        <v>1407</v>
      </c>
      <c r="C737" s="4">
        <v>1</v>
      </c>
      <c r="D737" s="5">
        <v>21.99</v>
      </c>
      <c r="E737" s="4" t="s">
        <v>1408</v>
      </c>
      <c r="F737" s="3" t="s">
        <v>5540</v>
      </c>
      <c r="G737" s="7" t="s">
        <v>5596</v>
      </c>
      <c r="H737" s="3" t="s">
        <v>6003</v>
      </c>
      <c r="I737" s="3" t="s">
        <v>6004</v>
      </c>
      <c r="J737" s="3" t="s">
        <v>5536</v>
      </c>
      <c r="K737" s="3" t="s">
        <v>5574</v>
      </c>
      <c r="L737" s="8" t="str">
        <f>HYPERLINK("http://slimages.macys.com/is/image/MCY/14412331 ")</f>
        <v xml:space="preserve">http://slimages.macys.com/is/image/MCY/14412331 </v>
      </c>
    </row>
    <row r="738" spans="1:12" x14ac:dyDescent="0.25">
      <c r="A738" s="6" t="s">
        <v>303</v>
      </c>
      <c r="B738" s="3" t="s">
        <v>1407</v>
      </c>
      <c r="C738" s="4">
        <v>2</v>
      </c>
      <c r="D738" s="5">
        <v>43.98</v>
      </c>
      <c r="E738" s="4" t="s">
        <v>1408</v>
      </c>
      <c r="F738" s="3" t="s">
        <v>5540</v>
      </c>
      <c r="G738" s="7" t="s">
        <v>5533</v>
      </c>
      <c r="H738" s="3" t="s">
        <v>6003</v>
      </c>
      <c r="I738" s="3" t="s">
        <v>6004</v>
      </c>
      <c r="J738" s="3" t="s">
        <v>5536</v>
      </c>
      <c r="K738" s="3" t="s">
        <v>5574</v>
      </c>
      <c r="L738" s="8" t="str">
        <f>HYPERLINK("http://slimages.macys.com/is/image/MCY/14412331 ")</f>
        <v xml:space="preserve">http://slimages.macys.com/is/image/MCY/14412331 </v>
      </c>
    </row>
    <row r="739" spans="1:12" ht="24.75" x14ac:dyDescent="0.25">
      <c r="A739" s="6" t="s">
        <v>6797</v>
      </c>
      <c r="B739" s="3" t="s">
        <v>6798</v>
      </c>
      <c r="C739" s="4">
        <v>1</v>
      </c>
      <c r="D739" s="5">
        <v>15</v>
      </c>
      <c r="E739" s="4" t="s">
        <v>6799</v>
      </c>
      <c r="F739" s="3" t="s">
        <v>5783</v>
      </c>
      <c r="G739" s="7" t="s">
        <v>6252</v>
      </c>
      <c r="H739" s="3" t="s">
        <v>5899</v>
      </c>
      <c r="I739" s="3" t="s">
        <v>6800</v>
      </c>
      <c r="J739" s="3" t="s">
        <v>5536</v>
      </c>
      <c r="K739" s="3" t="s">
        <v>6801</v>
      </c>
      <c r="L739" s="8" t="str">
        <f>HYPERLINK("http://slimages.macys.com/is/image/MCY/14723456 ")</f>
        <v xml:space="preserve">http://slimages.macys.com/is/image/MCY/14723456 </v>
      </c>
    </row>
    <row r="740" spans="1:12" ht="24.75" x14ac:dyDescent="0.25">
      <c r="A740" s="6" t="s">
        <v>6820</v>
      </c>
      <c r="B740" s="3" t="s">
        <v>6809</v>
      </c>
      <c r="C740" s="4">
        <v>1</v>
      </c>
      <c r="D740" s="5">
        <v>16.989999999999998</v>
      </c>
      <c r="E740" s="4" t="s">
        <v>6810</v>
      </c>
      <c r="F740" s="3" t="s">
        <v>5540</v>
      </c>
      <c r="G740" s="7" t="s">
        <v>6819</v>
      </c>
      <c r="H740" s="3" t="s">
        <v>5842</v>
      </c>
      <c r="I740" s="3" t="s">
        <v>6811</v>
      </c>
      <c r="J740" s="3" t="s">
        <v>5536</v>
      </c>
      <c r="K740" s="3" t="s">
        <v>6812</v>
      </c>
      <c r="L740" s="8" t="str">
        <f>HYPERLINK("http://slimages.macys.com/is/image/MCY/10454849 ")</f>
        <v xml:space="preserve">http://slimages.macys.com/is/image/MCY/10454849 </v>
      </c>
    </row>
    <row r="741" spans="1:12" ht="24.75" x14ac:dyDescent="0.25">
      <c r="A741" s="6" t="s">
        <v>304</v>
      </c>
      <c r="B741" s="3" t="s">
        <v>6814</v>
      </c>
      <c r="C741" s="4">
        <v>1</v>
      </c>
      <c r="D741" s="5">
        <v>16.989999999999998</v>
      </c>
      <c r="E741" s="4" t="s">
        <v>6810</v>
      </c>
      <c r="F741" s="3" t="s">
        <v>5640</v>
      </c>
      <c r="G741" s="7" t="s">
        <v>6772</v>
      </c>
      <c r="H741" s="3" t="s">
        <v>5842</v>
      </c>
      <c r="I741" s="3" t="s">
        <v>6811</v>
      </c>
      <c r="J741" s="3" t="s">
        <v>5536</v>
      </c>
      <c r="K741" s="3" t="s">
        <v>6812</v>
      </c>
      <c r="L741" s="8" t="str">
        <f>HYPERLINK("http://slimages.macys.com/is/image/MCY/10454849 ")</f>
        <v xml:space="preserve">http://slimages.macys.com/is/image/MCY/10454849 </v>
      </c>
    </row>
    <row r="742" spans="1:12" ht="24.75" x14ac:dyDescent="0.25">
      <c r="A742" s="6" t="s">
        <v>6813</v>
      </c>
      <c r="B742" s="3" t="s">
        <v>6814</v>
      </c>
      <c r="C742" s="4">
        <v>2</v>
      </c>
      <c r="D742" s="5">
        <v>33.979999999999997</v>
      </c>
      <c r="E742" s="4" t="s">
        <v>6810</v>
      </c>
      <c r="F742" s="3" t="s">
        <v>5798</v>
      </c>
      <c r="G742" s="7" t="s">
        <v>6772</v>
      </c>
      <c r="H742" s="3" t="s">
        <v>5842</v>
      </c>
      <c r="I742" s="3" t="s">
        <v>6811</v>
      </c>
      <c r="J742" s="3" t="s">
        <v>5536</v>
      </c>
      <c r="K742" s="3" t="s">
        <v>6812</v>
      </c>
      <c r="L742" s="8" t="str">
        <f>HYPERLINK("http://slimages.macys.com/is/image/MCY/10454849 ")</f>
        <v xml:space="preserve">http://slimages.macys.com/is/image/MCY/10454849 </v>
      </c>
    </row>
    <row r="743" spans="1:12" ht="24.75" x14ac:dyDescent="0.25">
      <c r="A743" s="6" t="s">
        <v>305</v>
      </c>
      <c r="B743" s="3" t="s">
        <v>306</v>
      </c>
      <c r="C743" s="4">
        <v>2</v>
      </c>
      <c r="D743" s="5">
        <v>48</v>
      </c>
      <c r="E743" s="4">
        <v>100084676</v>
      </c>
      <c r="F743" s="3" t="s">
        <v>5625</v>
      </c>
      <c r="G743" s="7" t="s">
        <v>5562</v>
      </c>
      <c r="H743" s="3" t="s">
        <v>6019</v>
      </c>
      <c r="I743" s="3" t="s">
        <v>2573</v>
      </c>
      <c r="J743" s="3" t="s">
        <v>5536</v>
      </c>
      <c r="K743" s="3" t="s">
        <v>5549</v>
      </c>
      <c r="L743" s="8" t="str">
        <f>HYPERLINK("http://slimages.macys.com/is/image/MCY/15863226 ")</f>
        <v xml:space="preserve">http://slimages.macys.com/is/image/MCY/15863226 </v>
      </c>
    </row>
    <row r="744" spans="1:12" ht="24.75" x14ac:dyDescent="0.25">
      <c r="A744" s="6" t="s">
        <v>307</v>
      </c>
      <c r="B744" s="3" t="s">
        <v>308</v>
      </c>
      <c r="C744" s="4">
        <v>1</v>
      </c>
      <c r="D744" s="5">
        <v>24</v>
      </c>
      <c r="E744" s="4">
        <v>100084682</v>
      </c>
      <c r="F744" s="3" t="s">
        <v>5625</v>
      </c>
      <c r="G744" s="7" t="s">
        <v>5533</v>
      </c>
      <c r="H744" s="3" t="s">
        <v>6019</v>
      </c>
      <c r="I744" s="3" t="s">
        <v>2573</v>
      </c>
      <c r="J744" s="3" t="s">
        <v>5536</v>
      </c>
      <c r="K744" s="3" t="s">
        <v>5574</v>
      </c>
      <c r="L744" s="8" t="str">
        <f>HYPERLINK("http://slimages.macys.com/is/image/MCY/15436868 ")</f>
        <v xml:space="preserve">http://slimages.macys.com/is/image/MCY/15436868 </v>
      </c>
    </row>
    <row r="745" spans="1:12" ht="24.75" x14ac:dyDescent="0.25">
      <c r="A745" s="6" t="s">
        <v>309</v>
      </c>
      <c r="B745" s="3" t="s">
        <v>308</v>
      </c>
      <c r="C745" s="4">
        <v>1</v>
      </c>
      <c r="D745" s="5">
        <v>24</v>
      </c>
      <c r="E745" s="4">
        <v>100084682</v>
      </c>
      <c r="F745" s="3" t="s">
        <v>5625</v>
      </c>
      <c r="G745" s="7" t="s">
        <v>5598</v>
      </c>
      <c r="H745" s="3" t="s">
        <v>6019</v>
      </c>
      <c r="I745" s="3" t="s">
        <v>2573</v>
      </c>
      <c r="J745" s="3" t="s">
        <v>5536</v>
      </c>
      <c r="K745" s="3" t="s">
        <v>5574</v>
      </c>
      <c r="L745" s="8" t="str">
        <f>HYPERLINK("http://slimages.macys.com/is/image/MCY/15436868 ")</f>
        <v xml:space="preserve">http://slimages.macys.com/is/image/MCY/15436868 </v>
      </c>
    </row>
    <row r="746" spans="1:12" ht="24.75" x14ac:dyDescent="0.25">
      <c r="A746" s="6" t="s">
        <v>310</v>
      </c>
      <c r="B746" s="3" t="s">
        <v>308</v>
      </c>
      <c r="C746" s="4">
        <v>2</v>
      </c>
      <c r="D746" s="5">
        <v>48</v>
      </c>
      <c r="E746" s="4">
        <v>100084682</v>
      </c>
      <c r="F746" s="3" t="s">
        <v>5625</v>
      </c>
      <c r="G746" s="7" t="s">
        <v>5596</v>
      </c>
      <c r="H746" s="3" t="s">
        <v>6019</v>
      </c>
      <c r="I746" s="3" t="s">
        <v>2573</v>
      </c>
      <c r="J746" s="3" t="s">
        <v>5536</v>
      </c>
      <c r="K746" s="3" t="s">
        <v>5574</v>
      </c>
      <c r="L746" s="8" t="str">
        <f>HYPERLINK("http://slimages.macys.com/is/image/MCY/15436868 ")</f>
        <v xml:space="preserve">http://slimages.macys.com/is/image/MCY/15436868 </v>
      </c>
    </row>
    <row r="747" spans="1:12" ht="24.75" x14ac:dyDescent="0.25">
      <c r="A747" s="6" t="s">
        <v>311</v>
      </c>
      <c r="B747" s="3" t="s">
        <v>312</v>
      </c>
      <c r="C747" s="4">
        <v>1</v>
      </c>
      <c r="D747" s="5">
        <v>24</v>
      </c>
      <c r="E747" s="4">
        <v>100084685</v>
      </c>
      <c r="F747" s="3" t="s">
        <v>5532</v>
      </c>
      <c r="G747" s="7" t="s">
        <v>5560</v>
      </c>
      <c r="H747" s="3" t="s">
        <v>6019</v>
      </c>
      <c r="I747" s="3" t="s">
        <v>2573</v>
      </c>
      <c r="J747" s="3" t="s">
        <v>5536</v>
      </c>
      <c r="K747" s="3" t="s">
        <v>5574</v>
      </c>
      <c r="L747" s="8" t="str">
        <f>HYPERLINK("http://slimages.macys.com/is/image/MCY/16195952 ")</f>
        <v xml:space="preserve">http://slimages.macys.com/is/image/MCY/16195952 </v>
      </c>
    </row>
    <row r="748" spans="1:12" ht="24.75" x14ac:dyDescent="0.25">
      <c r="A748" s="6" t="s">
        <v>313</v>
      </c>
      <c r="B748" s="3" t="s">
        <v>312</v>
      </c>
      <c r="C748" s="4">
        <v>1</v>
      </c>
      <c r="D748" s="5">
        <v>24</v>
      </c>
      <c r="E748" s="4">
        <v>100084685</v>
      </c>
      <c r="F748" s="3" t="s">
        <v>5532</v>
      </c>
      <c r="G748" s="7" t="s">
        <v>5596</v>
      </c>
      <c r="H748" s="3" t="s">
        <v>6019</v>
      </c>
      <c r="I748" s="3" t="s">
        <v>2573</v>
      </c>
      <c r="J748" s="3" t="s">
        <v>5536</v>
      </c>
      <c r="K748" s="3" t="s">
        <v>5574</v>
      </c>
      <c r="L748" s="8" t="str">
        <f>HYPERLINK("http://slimages.macys.com/is/image/MCY/16195952 ")</f>
        <v xml:space="preserve">http://slimages.macys.com/is/image/MCY/16195952 </v>
      </c>
    </row>
    <row r="749" spans="1:12" ht="36.75" x14ac:dyDescent="0.25">
      <c r="A749" s="6" t="s">
        <v>314</v>
      </c>
      <c r="B749" s="3" t="s">
        <v>2587</v>
      </c>
      <c r="C749" s="4">
        <v>1</v>
      </c>
      <c r="D749" s="5">
        <v>24</v>
      </c>
      <c r="E749" s="4">
        <v>100084677</v>
      </c>
      <c r="F749" s="3" t="s">
        <v>5783</v>
      </c>
      <c r="G749" s="7" t="s">
        <v>5596</v>
      </c>
      <c r="H749" s="3" t="s">
        <v>6019</v>
      </c>
      <c r="I749" s="3" t="s">
        <v>2573</v>
      </c>
      <c r="J749" s="3" t="s">
        <v>5536</v>
      </c>
      <c r="K749" s="3" t="s">
        <v>2588</v>
      </c>
      <c r="L749" s="8" t="str">
        <f>HYPERLINK("http://slimages.macys.com/is/image/MCY/16195901 ")</f>
        <v xml:space="preserve">http://slimages.macys.com/is/image/MCY/16195901 </v>
      </c>
    </row>
    <row r="750" spans="1:12" ht="36.75" x14ac:dyDescent="0.25">
      <c r="A750" s="6" t="s">
        <v>315</v>
      </c>
      <c r="B750" s="3" t="s">
        <v>2587</v>
      </c>
      <c r="C750" s="4">
        <v>1</v>
      </c>
      <c r="D750" s="5">
        <v>24</v>
      </c>
      <c r="E750" s="4">
        <v>100084677</v>
      </c>
      <c r="F750" s="3" t="s">
        <v>5783</v>
      </c>
      <c r="G750" s="7" t="s">
        <v>5533</v>
      </c>
      <c r="H750" s="3" t="s">
        <v>6019</v>
      </c>
      <c r="I750" s="3" t="s">
        <v>2573</v>
      </c>
      <c r="J750" s="3" t="s">
        <v>5536</v>
      </c>
      <c r="K750" s="3" t="s">
        <v>2588</v>
      </c>
      <c r="L750" s="8" t="str">
        <f>HYPERLINK("http://slimages.macys.com/is/image/MCY/16195901 ")</f>
        <v xml:space="preserve">http://slimages.macys.com/is/image/MCY/16195901 </v>
      </c>
    </row>
    <row r="751" spans="1:12" ht="36.75" x14ac:dyDescent="0.25">
      <c r="A751" s="6" t="s">
        <v>316</v>
      </c>
      <c r="B751" s="3" t="s">
        <v>2587</v>
      </c>
      <c r="C751" s="4">
        <v>1</v>
      </c>
      <c r="D751" s="5">
        <v>24</v>
      </c>
      <c r="E751" s="4">
        <v>100084677</v>
      </c>
      <c r="F751" s="3" t="s">
        <v>5783</v>
      </c>
      <c r="G751" s="7" t="s">
        <v>5560</v>
      </c>
      <c r="H751" s="3" t="s">
        <v>6019</v>
      </c>
      <c r="I751" s="3" t="s">
        <v>2573</v>
      </c>
      <c r="J751" s="3" t="s">
        <v>5536</v>
      </c>
      <c r="K751" s="3" t="s">
        <v>2588</v>
      </c>
      <c r="L751" s="8" t="str">
        <f>HYPERLINK("http://slimages.macys.com/is/image/MCY/16195901 ")</f>
        <v xml:space="preserve">http://slimages.macys.com/is/image/MCY/16195901 </v>
      </c>
    </row>
    <row r="752" spans="1:12" ht="24.75" x14ac:dyDescent="0.25">
      <c r="A752" s="6" t="s">
        <v>317</v>
      </c>
      <c r="B752" s="3" t="s">
        <v>318</v>
      </c>
      <c r="C752" s="4">
        <v>1</v>
      </c>
      <c r="D752" s="5">
        <v>12.98</v>
      </c>
      <c r="E752" s="4" t="s">
        <v>319</v>
      </c>
      <c r="F752" s="3" t="s">
        <v>5532</v>
      </c>
      <c r="G752" s="7" t="s">
        <v>5560</v>
      </c>
      <c r="H752" s="3" t="s">
        <v>6019</v>
      </c>
      <c r="I752" s="3" t="s">
        <v>6835</v>
      </c>
      <c r="J752" s="3" t="s">
        <v>5536</v>
      </c>
      <c r="K752" s="3" t="s">
        <v>5574</v>
      </c>
      <c r="L752" s="8" t="str">
        <f>HYPERLINK("http://slimages.macys.com/is/image/MCY/13785620 ")</f>
        <v xml:space="preserve">http://slimages.macys.com/is/image/MCY/13785620 </v>
      </c>
    </row>
    <row r="753" spans="1:12" ht="24.75" x14ac:dyDescent="0.25">
      <c r="A753" s="6" t="s">
        <v>320</v>
      </c>
      <c r="B753" s="3" t="s">
        <v>6830</v>
      </c>
      <c r="C753" s="4">
        <v>1</v>
      </c>
      <c r="D753" s="5">
        <v>24.99</v>
      </c>
      <c r="E753" s="4" t="s">
        <v>6831</v>
      </c>
      <c r="F753" s="3" t="s">
        <v>6275</v>
      </c>
      <c r="G753" s="7" t="s">
        <v>5560</v>
      </c>
      <c r="H753" s="3" t="s">
        <v>6003</v>
      </c>
      <c r="I753" s="3" t="s">
        <v>6004</v>
      </c>
      <c r="J753" s="3" t="s">
        <v>5536</v>
      </c>
      <c r="K753" s="3" t="s">
        <v>6494</v>
      </c>
      <c r="L753" s="8" t="str">
        <f>HYPERLINK("http://slimages.macys.com/is/image/MCY/15298833 ")</f>
        <v xml:space="preserve">http://slimages.macys.com/is/image/MCY/15298833 </v>
      </c>
    </row>
    <row r="754" spans="1:12" ht="24.75" x14ac:dyDescent="0.25">
      <c r="A754" s="6" t="s">
        <v>321</v>
      </c>
      <c r="B754" s="3" t="s">
        <v>318</v>
      </c>
      <c r="C754" s="4">
        <v>1</v>
      </c>
      <c r="D754" s="5">
        <v>12.98</v>
      </c>
      <c r="E754" s="4" t="s">
        <v>319</v>
      </c>
      <c r="F754" s="3" t="s">
        <v>5532</v>
      </c>
      <c r="G754" s="7" t="s">
        <v>5596</v>
      </c>
      <c r="H754" s="3" t="s">
        <v>6019</v>
      </c>
      <c r="I754" s="3" t="s">
        <v>6835</v>
      </c>
      <c r="J754" s="3" t="s">
        <v>5536</v>
      </c>
      <c r="K754" s="3" t="s">
        <v>5574</v>
      </c>
      <c r="L754" s="8" t="str">
        <f>HYPERLINK("http://slimages.macys.com/is/image/MCY/13785620 ")</f>
        <v xml:space="preserve">http://slimages.macys.com/is/image/MCY/13785620 </v>
      </c>
    </row>
    <row r="755" spans="1:12" ht="24.75" x14ac:dyDescent="0.25">
      <c r="A755" s="6" t="s">
        <v>322</v>
      </c>
      <c r="B755" s="3" t="s">
        <v>323</v>
      </c>
      <c r="C755" s="4">
        <v>1</v>
      </c>
      <c r="D755" s="5">
        <v>12.98</v>
      </c>
      <c r="E755" s="4" t="s">
        <v>324</v>
      </c>
      <c r="F755" s="3" t="s">
        <v>5532</v>
      </c>
      <c r="G755" s="7" t="s">
        <v>5596</v>
      </c>
      <c r="H755" s="3" t="s">
        <v>6019</v>
      </c>
      <c r="I755" s="3" t="s">
        <v>6835</v>
      </c>
      <c r="J755" s="3" t="s">
        <v>5536</v>
      </c>
      <c r="K755" s="3" t="s">
        <v>5574</v>
      </c>
      <c r="L755" s="8" t="str">
        <f>HYPERLINK("http://slimages.macys.com/is/image/MCY/12937694 ")</f>
        <v xml:space="preserve">http://slimages.macys.com/is/image/MCY/12937694 </v>
      </c>
    </row>
    <row r="756" spans="1:12" ht="24.75" x14ac:dyDescent="0.25">
      <c r="A756" s="6" t="s">
        <v>325</v>
      </c>
      <c r="B756" s="3" t="s">
        <v>326</v>
      </c>
      <c r="C756" s="4">
        <v>1</v>
      </c>
      <c r="D756" s="5">
        <v>24</v>
      </c>
      <c r="E756" s="4">
        <v>100084672</v>
      </c>
      <c r="F756" s="3" t="s">
        <v>5625</v>
      </c>
      <c r="G756" s="7" t="s">
        <v>5598</v>
      </c>
      <c r="H756" s="3" t="s">
        <v>6019</v>
      </c>
      <c r="I756" s="3" t="s">
        <v>2573</v>
      </c>
      <c r="J756" s="3" t="s">
        <v>5536</v>
      </c>
      <c r="K756" s="3" t="s">
        <v>5574</v>
      </c>
      <c r="L756" s="8" t="str">
        <f>HYPERLINK("http://slimages.macys.com/is/image/MCY/15863258 ")</f>
        <v xml:space="preserve">http://slimages.macys.com/is/image/MCY/15863258 </v>
      </c>
    </row>
    <row r="757" spans="1:12" ht="24.75" x14ac:dyDescent="0.25">
      <c r="A757" s="6" t="s">
        <v>327</v>
      </c>
      <c r="B757" s="3" t="s">
        <v>326</v>
      </c>
      <c r="C757" s="4">
        <v>2</v>
      </c>
      <c r="D757" s="5">
        <v>48</v>
      </c>
      <c r="E757" s="4">
        <v>100084672</v>
      </c>
      <c r="F757" s="3" t="s">
        <v>5625</v>
      </c>
      <c r="G757" s="7" t="s">
        <v>5562</v>
      </c>
      <c r="H757" s="3" t="s">
        <v>6019</v>
      </c>
      <c r="I757" s="3" t="s">
        <v>2573</v>
      </c>
      <c r="J757" s="3" t="s">
        <v>5536</v>
      </c>
      <c r="K757" s="3" t="s">
        <v>5574</v>
      </c>
      <c r="L757" s="8" t="str">
        <f>HYPERLINK("http://slimages.macys.com/is/image/MCY/15863258 ")</f>
        <v xml:space="preserve">http://slimages.macys.com/is/image/MCY/15863258 </v>
      </c>
    </row>
    <row r="758" spans="1:12" ht="24.75" x14ac:dyDescent="0.25">
      <c r="A758" s="6" t="s">
        <v>328</v>
      </c>
      <c r="B758" s="3" t="s">
        <v>329</v>
      </c>
      <c r="C758" s="4">
        <v>1</v>
      </c>
      <c r="D758" s="5">
        <v>12.98</v>
      </c>
      <c r="E758" s="4" t="s">
        <v>330</v>
      </c>
      <c r="F758" s="3" t="s">
        <v>5625</v>
      </c>
      <c r="G758" s="7" t="s">
        <v>5562</v>
      </c>
      <c r="H758" s="3" t="s">
        <v>6019</v>
      </c>
      <c r="I758" s="3" t="s">
        <v>6835</v>
      </c>
      <c r="J758" s="3" t="s">
        <v>5536</v>
      </c>
      <c r="K758" s="3" t="s">
        <v>5574</v>
      </c>
      <c r="L758" s="8" t="str">
        <f>HYPERLINK("http://slimages.macys.com/is/image/MCY/14312873 ")</f>
        <v xml:space="preserve">http://slimages.macys.com/is/image/MCY/14312873 </v>
      </c>
    </row>
    <row r="759" spans="1:12" ht="24.75" x14ac:dyDescent="0.25">
      <c r="A759" s="6" t="s">
        <v>2592</v>
      </c>
      <c r="B759" s="3" t="s">
        <v>6837</v>
      </c>
      <c r="C759" s="4">
        <v>1</v>
      </c>
      <c r="D759" s="5">
        <v>12.98</v>
      </c>
      <c r="E759" s="4" t="s">
        <v>6838</v>
      </c>
      <c r="F759" s="3" t="s">
        <v>5625</v>
      </c>
      <c r="G759" s="7" t="s">
        <v>5596</v>
      </c>
      <c r="H759" s="3" t="s">
        <v>6019</v>
      </c>
      <c r="I759" s="3" t="s">
        <v>6835</v>
      </c>
      <c r="J759" s="3" t="s">
        <v>5536</v>
      </c>
      <c r="K759" s="3" t="s">
        <v>5574</v>
      </c>
      <c r="L759" s="8" t="str">
        <f>HYPERLINK("http://slimages.macys.com/is/image/MCY/15241619 ")</f>
        <v xml:space="preserve">http://slimages.macys.com/is/image/MCY/15241619 </v>
      </c>
    </row>
    <row r="760" spans="1:12" ht="24.75" x14ac:dyDescent="0.25">
      <c r="A760" s="6" t="s">
        <v>331</v>
      </c>
      <c r="B760" s="3" t="s">
        <v>332</v>
      </c>
      <c r="C760" s="4">
        <v>1</v>
      </c>
      <c r="D760" s="5">
        <v>24</v>
      </c>
      <c r="E760" s="4">
        <v>100084678</v>
      </c>
      <c r="F760" s="3" t="s">
        <v>5556</v>
      </c>
      <c r="G760" s="7" t="s">
        <v>5562</v>
      </c>
      <c r="H760" s="3" t="s">
        <v>6019</v>
      </c>
      <c r="I760" s="3" t="s">
        <v>2573</v>
      </c>
      <c r="J760" s="3" t="s">
        <v>5536</v>
      </c>
      <c r="K760" s="3" t="s">
        <v>5574</v>
      </c>
      <c r="L760" s="8" t="str">
        <f>HYPERLINK("http://slimages.macys.com/is/image/MCY/15436859 ")</f>
        <v xml:space="preserve">http://slimages.macys.com/is/image/MCY/15436859 </v>
      </c>
    </row>
    <row r="761" spans="1:12" ht="24.75" x14ac:dyDescent="0.25">
      <c r="A761" s="6" t="s">
        <v>333</v>
      </c>
      <c r="B761" s="3" t="s">
        <v>334</v>
      </c>
      <c r="C761" s="4">
        <v>1</v>
      </c>
      <c r="D761" s="5">
        <v>12.98</v>
      </c>
      <c r="E761" s="4" t="s">
        <v>335</v>
      </c>
      <c r="F761" s="3" t="s">
        <v>5532</v>
      </c>
      <c r="G761" s="7" t="s">
        <v>5562</v>
      </c>
      <c r="H761" s="3" t="s">
        <v>6019</v>
      </c>
      <c r="I761" s="3" t="s">
        <v>6835</v>
      </c>
      <c r="J761" s="3" t="s">
        <v>5536</v>
      </c>
      <c r="K761" s="3" t="s">
        <v>5574</v>
      </c>
      <c r="L761" s="8" t="str">
        <f>HYPERLINK("http://slimages.macys.com/is/image/MCY/12745336 ")</f>
        <v xml:space="preserve">http://slimages.macys.com/is/image/MCY/12745336 </v>
      </c>
    </row>
    <row r="762" spans="1:12" x14ac:dyDescent="0.25">
      <c r="A762" s="6" t="s">
        <v>336</v>
      </c>
      <c r="B762" s="3" t="s">
        <v>6840</v>
      </c>
      <c r="C762" s="4">
        <v>1</v>
      </c>
      <c r="D762" s="5">
        <v>21.99</v>
      </c>
      <c r="E762" s="4" t="s">
        <v>6841</v>
      </c>
      <c r="F762" s="3" t="s">
        <v>5540</v>
      </c>
      <c r="G762" s="7" t="s">
        <v>5598</v>
      </c>
      <c r="H762" s="3" t="s">
        <v>6003</v>
      </c>
      <c r="I762" s="3" t="s">
        <v>6004</v>
      </c>
      <c r="J762" s="3" t="s">
        <v>5536</v>
      </c>
      <c r="K762" s="3" t="s">
        <v>5574</v>
      </c>
      <c r="L762" s="8" t="str">
        <f>HYPERLINK("http://slimages.macys.com/is/image/MCY/14358524 ")</f>
        <v xml:space="preserve">http://slimages.macys.com/is/image/MCY/14358524 </v>
      </c>
    </row>
    <row r="763" spans="1:12" ht="24.75" x14ac:dyDescent="0.25">
      <c r="A763" s="6" t="s">
        <v>337</v>
      </c>
      <c r="B763" s="3" t="s">
        <v>338</v>
      </c>
      <c r="C763" s="4">
        <v>1</v>
      </c>
      <c r="D763" s="5">
        <v>12.98</v>
      </c>
      <c r="E763" s="4" t="s">
        <v>339</v>
      </c>
      <c r="F763" s="3" t="s">
        <v>5578</v>
      </c>
      <c r="G763" s="7" t="s">
        <v>5562</v>
      </c>
      <c r="H763" s="3" t="s">
        <v>6019</v>
      </c>
      <c r="I763" s="3" t="s">
        <v>6835</v>
      </c>
      <c r="J763" s="3" t="s">
        <v>5536</v>
      </c>
      <c r="K763" s="3" t="s">
        <v>5574</v>
      </c>
      <c r="L763" s="8" t="str">
        <f>HYPERLINK("http://slimages.macys.com/is/image/MCY/12936593 ")</f>
        <v xml:space="preserve">http://slimages.macys.com/is/image/MCY/12936593 </v>
      </c>
    </row>
    <row r="764" spans="1:12" ht="24.75" x14ac:dyDescent="0.25">
      <c r="A764" s="6" t="s">
        <v>340</v>
      </c>
      <c r="B764" s="3" t="s">
        <v>341</v>
      </c>
      <c r="C764" s="4">
        <v>1</v>
      </c>
      <c r="D764" s="5">
        <v>12.98</v>
      </c>
      <c r="E764" s="4" t="s">
        <v>342</v>
      </c>
      <c r="F764" s="3" t="s">
        <v>5532</v>
      </c>
      <c r="G764" s="7" t="s">
        <v>5596</v>
      </c>
      <c r="H764" s="3" t="s">
        <v>6019</v>
      </c>
      <c r="I764" s="3" t="s">
        <v>6835</v>
      </c>
      <c r="J764" s="3" t="s">
        <v>5536</v>
      </c>
      <c r="K764" s="3" t="s">
        <v>5574</v>
      </c>
      <c r="L764" s="8" t="str">
        <f>HYPERLINK("http://slimages.macys.com/is/image/MCY/12935641 ")</f>
        <v xml:space="preserve">http://slimages.macys.com/is/image/MCY/12935641 </v>
      </c>
    </row>
    <row r="765" spans="1:12" ht="24.75" x14ac:dyDescent="0.25">
      <c r="A765" s="6" t="s">
        <v>343</v>
      </c>
      <c r="B765" s="3" t="s">
        <v>344</v>
      </c>
      <c r="C765" s="4">
        <v>1</v>
      </c>
      <c r="D765" s="5">
        <v>12.98</v>
      </c>
      <c r="E765" s="4" t="s">
        <v>345</v>
      </c>
      <c r="F765" s="3" t="s">
        <v>5532</v>
      </c>
      <c r="G765" s="7" t="s">
        <v>5560</v>
      </c>
      <c r="H765" s="3" t="s">
        <v>6019</v>
      </c>
      <c r="I765" s="3" t="s">
        <v>6835</v>
      </c>
      <c r="J765" s="3" t="s">
        <v>5536</v>
      </c>
      <c r="K765" s="3" t="s">
        <v>5574</v>
      </c>
      <c r="L765" s="8" t="str">
        <f>HYPERLINK("http://slimages.macys.com/is/image/MCY/13727982 ")</f>
        <v xml:space="preserve">http://slimages.macys.com/is/image/MCY/13727982 </v>
      </c>
    </row>
    <row r="766" spans="1:12" ht="24.75" x14ac:dyDescent="0.25">
      <c r="A766" s="6" t="s">
        <v>346</v>
      </c>
      <c r="B766" s="3" t="s">
        <v>347</v>
      </c>
      <c r="C766" s="4">
        <v>1</v>
      </c>
      <c r="D766" s="5">
        <v>12.98</v>
      </c>
      <c r="E766" s="4" t="s">
        <v>348</v>
      </c>
      <c r="F766" s="3" t="s">
        <v>5820</v>
      </c>
      <c r="G766" s="7" t="s">
        <v>5562</v>
      </c>
      <c r="H766" s="3" t="s">
        <v>6019</v>
      </c>
      <c r="I766" s="3" t="s">
        <v>6835</v>
      </c>
      <c r="J766" s="3" t="s">
        <v>5536</v>
      </c>
      <c r="K766" s="3" t="s">
        <v>5574</v>
      </c>
      <c r="L766" s="8" t="str">
        <f>HYPERLINK("http://slimages.macys.com/is/image/MCY/14314027 ")</f>
        <v xml:space="preserve">http://slimages.macys.com/is/image/MCY/14314027 </v>
      </c>
    </row>
    <row r="767" spans="1:12" ht="24.75" x14ac:dyDescent="0.25">
      <c r="A767" s="6" t="s">
        <v>349</v>
      </c>
      <c r="B767" s="3" t="s">
        <v>350</v>
      </c>
      <c r="C767" s="4">
        <v>2</v>
      </c>
      <c r="D767" s="5">
        <v>98</v>
      </c>
      <c r="E767" s="4" t="s">
        <v>351</v>
      </c>
      <c r="F767" s="3" t="s">
        <v>5793</v>
      </c>
      <c r="G767" s="7" t="s">
        <v>5560</v>
      </c>
      <c r="H767" s="3" t="s">
        <v>2792</v>
      </c>
      <c r="I767" s="3" t="s">
        <v>2793</v>
      </c>
      <c r="J767" s="3" t="s">
        <v>5536</v>
      </c>
      <c r="K767" s="3" t="s">
        <v>5553</v>
      </c>
      <c r="L767" s="8" t="str">
        <f>HYPERLINK("http://slimages.macys.com/is/image/MCY/14587363 ")</f>
        <v xml:space="preserve">http://slimages.macys.com/is/image/MCY/14587363 </v>
      </c>
    </row>
    <row r="768" spans="1:12" ht="24.75" x14ac:dyDescent="0.25">
      <c r="A768" s="6" t="s">
        <v>4453</v>
      </c>
      <c r="B768" s="3" t="s">
        <v>6846</v>
      </c>
      <c r="C768" s="4">
        <v>1</v>
      </c>
      <c r="D768" s="5">
        <v>13.99</v>
      </c>
      <c r="E768" s="4" t="s">
        <v>6847</v>
      </c>
      <c r="F768" s="3" t="s">
        <v>5783</v>
      </c>
      <c r="G768" s="7" t="s">
        <v>6862</v>
      </c>
      <c r="H768" s="3" t="s">
        <v>5794</v>
      </c>
      <c r="I768" s="3" t="s">
        <v>6849</v>
      </c>
      <c r="J768" s="3" t="s">
        <v>5536</v>
      </c>
      <c r="K768" s="3" t="s">
        <v>6850</v>
      </c>
      <c r="L768" s="8" t="str">
        <f>HYPERLINK("http://slimages.macys.com/is/image/MCY/14816336 ")</f>
        <v xml:space="preserve">http://slimages.macys.com/is/image/MCY/14816336 </v>
      </c>
    </row>
    <row r="769" spans="1:12" ht="24.75" x14ac:dyDescent="0.25">
      <c r="A769" s="6" t="s">
        <v>4464</v>
      </c>
      <c r="B769" s="3" t="s">
        <v>6846</v>
      </c>
      <c r="C769" s="4">
        <v>1</v>
      </c>
      <c r="D769" s="5">
        <v>13.99</v>
      </c>
      <c r="E769" s="4" t="s">
        <v>6847</v>
      </c>
      <c r="F769" s="3" t="s">
        <v>5540</v>
      </c>
      <c r="G769" s="7" t="s">
        <v>6862</v>
      </c>
      <c r="H769" s="3" t="s">
        <v>5794</v>
      </c>
      <c r="I769" s="3" t="s">
        <v>6849</v>
      </c>
      <c r="J769" s="3" t="s">
        <v>5536</v>
      </c>
      <c r="K769" s="3" t="s">
        <v>6850</v>
      </c>
      <c r="L769" s="8" t="str">
        <f>HYPERLINK("http://slimages.macys.com/is/image/MCY/14816336 ")</f>
        <v xml:space="preserve">http://slimages.macys.com/is/image/MCY/14816336 </v>
      </c>
    </row>
    <row r="770" spans="1:12" ht="24.75" x14ac:dyDescent="0.25">
      <c r="A770" s="6" t="s">
        <v>352</v>
      </c>
      <c r="B770" s="3" t="s">
        <v>4456</v>
      </c>
      <c r="C770" s="4">
        <v>1</v>
      </c>
      <c r="D770" s="5">
        <v>13.99</v>
      </c>
      <c r="E770" s="4" t="s">
        <v>4457</v>
      </c>
      <c r="F770" s="3" t="s">
        <v>5540</v>
      </c>
      <c r="G770" s="7" t="s">
        <v>6848</v>
      </c>
      <c r="H770" s="3" t="s">
        <v>5794</v>
      </c>
      <c r="I770" s="3" t="s">
        <v>6849</v>
      </c>
      <c r="J770" s="3" t="s">
        <v>5536</v>
      </c>
      <c r="K770" s="3" t="s">
        <v>6850</v>
      </c>
      <c r="L770" s="8" t="str">
        <f>HYPERLINK("http://slimages.macys.com/is/image/MCY/8944075 ")</f>
        <v xml:space="preserve">http://slimages.macys.com/is/image/MCY/8944075 </v>
      </c>
    </row>
    <row r="771" spans="1:12" ht="24.75" x14ac:dyDescent="0.25">
      <c r="A771" s="6" t="s">
        <v>353</v>
      </c>
      <c r="B771" s="3" t="s">
        <v>354</v>
      </c>
      <c r="C771" s="4">
        <v>2</v>
      </c>
      <c r="D771" s="5">
        <v>48</v>
      </c>
      <c r="E771" s="4">
        <v>100084680</v>
      </c>
      <c r="F771" s="3" t="s">
        <v>6217</v>
      </c>
      <c r="G771" s="7" t="s">
        <v>5596</v>
      </c>
      <c r="H771" s="3" t="s">
        <v>6019</v>
      </c>
      <c r="I771" s="3" t="s">
        <v>2573</v>
      </c>
      <c r="J771" s="3" t="s">
        <v>5536</v>
      </c>
      <c r="K771" s="3" t="s">
        <v>5574</v>
      </c>
      <c r="L771" s="8" t="str">
        <f>HYPERLINK("http://slimages.macys.com/is/image/MCY/15436861 ")</f>
        <v xml:space="preserve">http://slimages.macys.com/is/image/MCY/15436861 </v>
      </c>
    </row>
    <row r="772" spans="1:12" ht="24.75" x14ac:dyDescent="0.25">
      <c r="A772" s="6" t="s">
        <v>355</v>
      </c>
      <c r="B772" s="3" t="s">
        <v>354</v>
      </c>
      <c r="C772" s="4">
        <v>1</v>
      </c>
      <c r="D772" s="5">
        <v>24</v>
      </c>
      <c r="E772" s="4">
        <v>100084680</v>
      </c>
      <c r="F772" s="3" t="s">
        <v>6217</v>
      </c>
      <c r="G772" s="7" t="s">
        <v>5533</v>
      </c>
      <c r="H772" s="3" t="s">
        <v>6019</v>
      </c>
      <c r="I772" s="3" t="s">
        <v>2573</v>
      </c>
      <c r="J772" s="3" t="s">
        <v>5536</v>
      </c>
      <c r="K772" s="3" t="s">
        <v>5574</v>
      </c>
      <c r="L772" s="8" t="str">
        <f>HYPERLINK("http://slimages.macys.com/is/image/MCY/15436861 ")</f>
        <v xml:space="preserve">http://slimages.macys.com/is/image/MCY/15436861 </v>
      </c>
    </row>
    <row r="773" spans="1:12" ht="24.75" x14ac:dyDescent="0.25">
      <c r="A773" s="6" t="s">
        <v>356</v>
      </c>
      <c r="B773" s="3" t="s">
        <v>357</v>
      </c>
      <c r="C773" s="4">
        <v>1</v>
      </c>
      <c r="D773" s="5">
        <v>12.98</v>
      </c>
      <c r="E773" s="4" t="s">
        <v>358</v>
      </c>
      <c r="F773" s="3" t="s">
        <v>5532</v>
      </c>
      <c r="G773" s="7" t="s">
        <v>5560</v>
      </c>
      <c r="H773" s="3" t="s">
        <v>6019</v>
      </c>
      <c r="I773" s="3" t="s">
        <v>6835</v>
      </c>
      <c r="J773" s="3" t="s">
        <v>5536</v>
      </c>
      <c r="K773" s="3" t="s">
        <v>5574</v>
      </c>
      <c r="L773" s="8" t="str">
        <f>HYPERLINK("http://slimages.macys.com/is/image/MCY/12937383 ")</f>
        <v xml:space="preserve">http://slimages.macys.com/is/image/MCY/12937383 </v>
      </c>
    </row>
    <row r="774" spans="1:12" ht="24.75" x14ac:dyDescent="0.25">
      <c r="A774" s="6" t="s">
        <v>359</v>
      </c>
      <c r="B774" s="3" t="s">
        <v>360</v>
      </c>
      <c r="C774" s="4">
        <v>1</v>
      </c>
      <c r="D774" s="5">
        <v>12.98</v>
      </c>
      <c r="E774" s="4" t="s">
        <v>361</v>
      </c>
      <c r="F774" s="3" t="s">
        <v>6217</v>
      </c>
      <c r="G774" s="7" t="s">
        <v>5560</v>
      </c>
      <c r="H774" s="3" t="s">
        <v>6019</v>
      </c>
      <c r="I774" s="3" t="s">
        <v>6835</v>
      </c>
      <c r="J774" s="3" t="s">
        <v>5536</v>
      </c>
      <c r="K774" s="3" t="s">
        <v>5574</v>
      </c>
      <c r="L774" s="8" t="str">
        <f>HYPERLINK("http://slimages.macys.com/is/image/MCY/14616733 ")</f>
        <v xml:space="preserve">http://slimages.macys.com/is/image/MCY/14616733 </v>
      </c>
    </row>
    <row r="775" spans="1:12" ht="24.75" x14ac:dyDescent="0.25">
      <c r="A775" s="6" t="s">
        <v>362</v>
      </c>
      <c r="B775" s="3" t="s">
        <v>363</v>
      </c>
      <c r="C775" s="4">
        <v>1</v>
      </c>
      <c r="D775" s="5">
        <v>12.98</v>
      </c>
      <c r="E775" s="4" t="s">
        <v>364</v>
      </c>
      <c r="F775" s="3" t="s">
        <v>5540</v>
      </c>
      <c r="G775" s="7" t="s">
        <v>5582</v>
      </c>
      <c r="H775" s="3" t="s">
        <v>6019</v>
      </c>
      <c r="I775" s="3" t="s">
        <v>6835</v>
      </c>
      <c r="J775" s="3" t="s">
        <v>5536</v>
      </c>
      <c r="K775" s="3" t="s">
        <v>5574</v>
      </c>
      <c r="L775" s="8" t="str">
        <f>HYPERLINK("http://slimages.macys.com/is/image/MCY/13727980 ")</f>
        <v xml:space="preserve">http://slimages.macys.com/is/image/MCY/13727980 </v>
      </c>
    </row>
    <row r="776" spans="1:12" ht="24.75" x14ac:dyDescent="0.25">
      <c r="A776" s="6" t="s">
        <v>365</v>
      </c>
      <c r="B776" s="3" t="s">
        <v>360</v>
      </c>
      <c r="C776" s="4">
        <v>1</v>
      </c>
      <c r="D776" s="5">
        <v>12.98</v>
      </c>
      <c r="E776" s="4" t="s">
        <v>361</v>
      </c>
      <c r="F776" s="3" t="s">
        <v>6217</v>
      </c>
      <c r="G776" s="7" t="s">
        <v>5533</v>
      </c>
      <c r="H776" s="3" t="s">
        <v>6019</v>
      </c>
      <c r="I776" s="3" t="s">
        <v>6835</v>
      </c>
      <c r="J776" s="3" t="s">
        <v>5536</v>
      </c>
      <c r="K776" s="3" t="s">
        <v>5574</v>
      </c>
      <c r="L776" s="8" t="str">
        <f>HYPERLINK("http://slimages.macys.com/is/image/MCY/14616733 ")</f>
        <v xml:space="preserve">http://slimages.macys.com/is/image/MCY/14616733 </v>
      </c>
    </row>
    <row r="777" spans="1:12" ht="24.75" x14ac:dyDescent="0.25">
      <c r="A777" s="6" t="s">
        <v>366</v>
      </c>
      <c r="B777" s="3" t="s">
        <v>367</v>
      </c>
      <c r="C777" s="4">
        <v>1</v>
      </c>
      <c r="D777" s="5">
        <v>12.98</v>
      </c>
      <c r="E777" s="4" t="s">
        <v>368</v>
      </c>
      <c r="F777" s="3" t="s">
        <v>5820</v>
      </c>
      <c r="G777" s="7" t="s">
        <v>5562</v>
      </c>
      <c r="H777" s="3" t="s">
        <v>6019</v>
      </c>
      <c r="I777" s="3" t="s">
        <v>6835</v>
      </c>
      <c r="J777" s="3" t="s">
        <v>5536</v>
      </c>
      <c r="K777" s="3" t="s">
        <v>5574</v>
      </c>
      <c r="L777" s="8" t="str">
        <f>HYPERLINK("http://slimages.macys.com/is/image/MCY/14313745 ")</f>
        <v xml:space="preserve">http://slimages.macys.com/is/image/MCY/14313745 </v>
      </c>
    </row>
    <row r="778" spans="1:12" ht="24.75" x14ac:dyDescent="0.25">
      <c r="A778" s="6" t="s">
        <v>369</v>
      </c>
      <c r="B778" s="3" t="s">
        <v>370</v>
      </c>
      <c r="C778" s="4">
        <v>1</v>
      </c>
      <c r="D778" s="5">
        <v>12.98</v>
      </c>
      <c r="E778" s="4" t="s">
        <v>371</v>
      </c>
      <c r="F778" s="3" t="s">
        <v>5661</v>
      </c>
      <c r="G778" s="7" t="s">
        <v>5562</v>
      </c>
      <c r="H778" s="3" t="s">
        <v>6019</v>
      </c>
      <c r="I778" s="3" t="s">
        <v>6835</v>
      </c>
      <c r="J778" s="3" t="s">
        <v>5536</v>
      </c>
      <c r="K778" s="3" t="s">
        <v>5574</v>
      </c>
      <c r="L778" s="8" t="str">
        <f>HYPERLINK("http://slimages.macys.com/is/image/MCY/14312761 ")</f>
        <v xml:space="preserve">http://slimages.macys.com/is/image/MCY/14312761 </v>
      </c>
    </row>
    <row r="779" spans="1:12" ht="24.75" x14ac:dyDescent="0.25">
      <c r="A779" s="6" t="s">
        <v>372</v>
      </c>
      <c r="B779" s="3" t="s">
        <v>373</v>
      </c>
      <c r="C779" s="4">
        <v>1</v>
      </c>
      <c r="D779" s="5">
        <v>14.99</v>
      </c>
      <c r="E779" s="4">
        <v>10004647200</v>
      </c>
      <c r="F779" s="3" t="s">
        <v>5578</v>
      </c>
      <c r="G779" s="7" t="s">
        <v>5598</v>
      </c>
      <c r="H779" s="3" t="s">
        <v>6522</v>
      </c>
      <c r="I779" s="3" t="s">
        <v>4828</v>
      </c>
      <c r="J779" s="3" t="s">
        <v>5536</v>
      </c>
      <c r="K779" s="3" t="s">
        <v>5727</v>
      </c>
      <c r="L779" s="8" t="str">
        <f>HYPERLINK("http://slimages.macys.com/is/image/MCY/12283318 ")</f>
        <v xml:space="preserve">http://slimages.macys.com/is/image/MCY/12283318 </v>
      </c>
    </row>
    <row r="780" spans="1:12" ht="24.75" x14ac:dyDescent="0.25">
      <c r="A780" s="6" t="s">
        <v>6871</v>
      </c>
      <c r="B780" s="3" t="s">
        <v>6870</v>
      </c>
      <c r="C780" s="4">
        <v>1</v>
      </c>
      <c r="D780" s="5">
        <v>14.99</v>
      </c>
      <c r="E780" s="4">
        <v>10006150200</v>
      </c>
      <c r="F780" s="3" t="s">
        <v>6703</v>
      </c>
      <c r="G780" s="7" t="s">
        <v>6252</v>
      </c>
      <c r="H780" s="3" t="s">
        <v>6652</v>
      </c>
      <c r="I780" s="3" t="s">
        <v>6653</v>
      </c>
      <c r="J780" s="3" t="s">
        <v>5536</v>
      </c>
      <c r="K780" s="3" t="s">
        <v>6303</v>
      </c>
      <c r="L780" s="8" t="str">
        <f>HYPERLINK("http://slimages.macys.com/is/image/MCY/12301987 ")</f>
        <v xml:space="preserve">http://slimages.macys.com/is/image/MCY/12301987 </v>
      </c>
    </row>
    <row r="781" spans="1:12" ht="24.75" x14ac:dyDescent="0.25">
      <c r="A781" s="6" t="s">
        <v>6867</v>
      </c>
      <c r="B781" s="3" t="s">
        <v>6868</v>
      </c>
      <c r="C781" s="4">
        <v>1</v>
      </c>
      <c r="D781" s="5">
        <v>27.99</v>
      </c>
      <c r="E781" s="4">
        <v>10008586400</v>
      </c>
      <c r="F781" s="3" t="s">
        <v>5783</v>
      </c>
      <c r="G781" s="7" t="s">
        <v>6252</v>
      </c>
      <c r="H781" s="3" t="s">
        <v>6652</v>
      </c>
      <c r="I781" s="3" t="s">
        <v>6653</v>
      </c>
      <c r="J781" s="3" t="s">
        <v>5536</v>
      </c>
      <c r="K781" s="3" t="s">
        <v>6295</v>
      </c>
      <c r="L781" s="8" t="str">
        <f>HYPERLINK("http://slimages.macys.com/is/image/MCY/15917056 ")</f>
        <v xml:space="preserve">http://slimages.macys.com/is/image/MCY/15917056 </v>
      </c>
    </row>
    <row r="782" spans="1:12" ht="24.75" x14ac:dyDescent="0.25">
      <c r="A782" s="6" t="s">
        <v>374</v>
      </c>
      <c r="B782" s="3" t="s">
        <v>375</v>
      </c>
      <c r="C782" s="4">
        <v>1</v>
      </c>
      <c r="D782" s="5">
        <v>12.98</v>
      </c>
      <c r="E782" s="4" t="s">
        <v>376</v>
      </c>
      <c r="F782" s="3" t="s">
        <v>5532</v>
      </c>
      <c r="G782" s="7" t="s">
        <v>5562</v>
      </c>
      <c r="H782" s="3" t="s">
        <v>6019</v>
      </c>
      <c r="I782" s="3" t="s">
        <v>6835</v>
      </c>
      <c r="J782" s="3" t="s">
        <v>5536</v>
      </c>
      <c r="K782" s="3" t="s">
        <v>5574</v>
      </c>
      <c r="L782" s="8" t="str">
        <f>HYPERLINK("http://slimages.macys.com/is/image/MCY/12745526 ")</f>
        <v xml:space="preserve">http://slimages.macys.com/is/image/MCY/12745526 </v>
      </c>
    </row>
    <row r="783" spans="1:12" ht="24.75" x14ac:dyDescent="0.25">
      <c r="A783" s="6" t="s">
        <v>377</v>
      </c>
      <c r="B783" s="3" t="s">
        <v>378</v>
      </c>
      <c r="C783" s="4">
        <v>1</v>
      </c>
      <c r="D783" s="5">
        <v>12.98</v>
      </c>
      <c r="E783" s="4" t="s">
        <v>379</v>
      </c>
      <c r="F783" s="3" t="s">
        <v>5610</v>
      </c>
      <c r="G783" s="7" t="s">
        <v>5596</v>
      </c>
      <c r="H783" s="3" t="s">
        <v>6019</v>
      </c>
      <c r="I783" s="3" t="s">
        <v>6835</v>
      </c>
      <c r="J783" s="3" t="s">
        <v>5536</v>
      </c>
      <c r="K783" s="3" t="s">
        <v>5574</v>
      </c>
      <c r="L783" s="8" t="str">
        <f>HYPERLINK("http://slimages.macys.com/is/image/MCY/12746007 ")</f>
        <v xml:space="preserve">http://slimages.macys.com/is/image/MCY/12746007 </v>
      </c>
    </row>
    <row r="784" spans="1:12" ht="24.75" x14ac:dyDescent="0.25">
      <c r="A784" s="6" t="s">
        <v>6908</v>
      </c>
      <c r="B784" s="3" t="s">
        <v>6870</v>
      </c>
      <c r="C784" s="4">
        <v>1</v>
      </c>
      <c r="D784" s="5">
        <v>14.99</v>
      </c>
      <c r="E784" s="4">
        <v>10006150200</v>
      </c>
      <c r="F784" s="3" t="s">
        <v>6275</v>
      </c>
      <c r="G784" s="7" t="s">
        <v>6252</v>
      </c>
      <c r="H784" s="3" t="s">
        <v>6652</v>
      </c>
      <c r="I784" s="3" t="s">
        <v>6653</v>
      </c>
      <c r="J784" s="3" t="s">
        <v>5536</v>
      </c>
      <c r="K784" s="3" t="s">
        <v>6303</v>
      </c>
      <c r="L784" s="8" t="str">
        <f>HYPERLINK("http://slimages.macys.com/is/image/MCY/12301987 ")</f>
        <v xml:space="preserve">http://slimages.macys.com/is/image/MCY/12301987 </v>
      </c>
    </row>
    <row r="785" spans="1:12" x14ac:dyDescent="0.25">
      <c r="A785" s="6" t="s">
        <v>380</v>
      </c>
      <c r="B785" s="3" t="s">
        <v>3367</v>
      </c>
      <c r="C785" s="4">
        <v>1</v>
      </c>
      <c r="D785" s="5">
        <v>24.5</v>
      </c>
      <c r="E785" s="4">
        <v>100063515</v>
      </c>
      <c r="F785" s="3" t="s">
        <v>5798</v>
      </c>
      <c r="G785" s="7" t="s">
        <v>5598</v>
      </c>
      <c r="H785" s="3" t="s">
        <v>5585</v>
      </c>
      <c r="I785" s="3" t="s">
        <v>5734</v>
      </c>
      <c r="J785" s="3" t="s">
        <v>5536</v>
      </c>
      <c r="K785" s="3" t="s">
        <v>5574</v>
      </c>
      <c r="L785" s="8" t="str">
        <f>HYPERLINK("http://slimages.macys.com/is/image/MCY/14629924 ")</f>
        <v xml:space="preserve">http://slimages.macys.com/is/image/MCY/14629924 </v>
      </c>
    </row>
    <row r="786" spans="1:12" ht="24.75" x14ac:dyDescent="0.25">
      <c r="A786" s="6" t="s">
        <v>381</v>
      </c>
      <c r="B786" s="3" t="s">
        <v>382</v>
      </c>
      <c r="C786" s="4">
        <v>1</v>
      </c>
      <c r="D786" s="5">
        <v>13.85</v>
      </c>
      <c r="E786" s="4" t="s">
        <v>383</v>
      </c>
      <c r="F786" s="3" t="s">
        <v>5532</v>
      </c>
      <c r="G786" s="7" t="s">
        <v>5898</v>
      </c>
      <c r="H786" s="3" t="s">
        <v>6280</v>
      </c>
      <c r="I786" s="3" t="s">
        <v>6533</v>
      </c>
      <c r="J786" s="3" t="s">
        <v>5536</v>
      </c>
      <c r="K786" s="3" t="s">
        <v>5594</v>
      </c>
      <c r="L786" s="8" t="str">
        <f>HYPERLINK("http://slimages.macys.com/is/image/MCY/12076787 ")</f>
        <v xml:space="preserve">http://slimages.macys.com/is/image/MCY/12076787 </v>
      </c>
    </row>
    <row r="787" spans="1:12" ht="36.75" x14ac:dyDescent="0.25">
      <c r="A787" s="6" t="s">
        <v>384</v>
      </c>
      <c r="B787" s="3" t="s">
        <v>6916</v>
      </c>
      <c r="C787" s="4">
        <v>1</v>
      </c>
      <c r="D787" s="5">
        <v>9.99</v>
      </c>
      <c r="E787" s="4" t="s">
        <v>6917</v>
      </c>
      <c r="F787" s="3" t="s">
        <v>5532</v>
      </c>
      <c r="G787" s="7" t="s">
        <v>5598</v>
      </c>
      <c r="H787" s="3" t="s">
        <v>6430</v>
      </c>
      <c r="I787" s="3" t="s">
        <v>6431</v>
      </c>
      <c r="J787" s="3" t="s">
        <v>5536</v>
      </c>
      <c r="K787" s="3" t="s">
        <v>5574</v>
      </c>
      <c r="L787" s="8" t="str">
        <f>HYPERLINK("http://slimages.macys.com/is/image/MCY/15509348 ")</f>
        <v xml:space="preserve">http://slimages.macys.com/is/image/MCY/15509348 </v>
      </c>
    </row>
    <row r="788" spans="1:12" ht="36.75" x14ac:dyDescent="0.25">
      <c r="A788" s="6" t="s">
        <v>1418</v>
      </c>
      <c r="B788" s="3" t="s">
        <v>6913</v>
      </c>
      <c r="C788" s="4">
        <v>1</v>
      </c>
      <c r="D788" s="5">
        <v>9.99</v>
      </c>
      <c r="E788" s="4" t="s">
        <v>6914</v>
      </c>
      <c r="F788" s="3" t="s">
        <v>5625</v>
      </c>
      <c r="G788" s="7" t="s">
        <v>5596</v>
      </c>
      <c r="H788" s="3" t="s">
        <v>6430</v>
      </c>
      <c r="I788" s="3" t="s">
        <v>6431</v>
      </c>
      <c r="J788" s="3" t="s">
        <v>5536</v>
      </c>
      <c r="K788" s="3" t="s">
        <v>5574</v>
      </c>
      <c r="L788" s="8" t="str">
        <f>HYPERLINK("http://slimages.macys.com/is/image/MCY/15550079 ")</f>
        <v xml:space="preserve">http://slimages.macys.com/is/image/MCY/15550079 </v>
      </c>
    </row>
    <row r="789" spans="1:12" ht="36.75" x14ac:dyDescent="0.25">
      <c r="A789" s="6" t="s">
        <v>385</v>
      </c>
      <c r="B789" s="3" t="s">
        <v>6944</v>
      </c>
      <c r="C789" s="4">
        <v>1</v>
      </c>
      <c r="D789" s="5">
        <v>7.98</v>
      </c>
      <c r="E789" s="4" t="s">
        <v>6945</v>
      </c>
      <c r="F789" s="3" t="s">
        <v>5578</v>
      </c>
      <c r="G789" s="7" t="s">
        <v>5533</v>
      </c>
      <c r="H789" s="3" t="s">
        <v>6430</v>
      </c>
      <c r="I789" s="3" t="s">
        <v>6431</v>
      </c>
      <c r="J789" s="3" t="s">
        <v>5536</v>
      </c>
      <c r="K789" s="3" t="s">
        <v>5574</v>
      </c>
      <c r="L789" s="8" t="str">
        <f>HYPERLINK("http://slimages.macys.com/is/image/MCY/15188983 ")</f>
        <v xml:space="preserve">http://slimages.macys.com/is/image/MCY/15188983 </v>
      </c>
    </row>
    <row r="790" spans="1:12" ht="36.75" x14ac:dyDescent="0.25">
      <c r="A790" s="6" t="s">
        <v>386</v>
      </c>
      <c r="B790" s="3" t="s">
        <v>6944</v>
      </c>
      <c r="C790" s="4">
        <v>1</v>
      </c>
      <c r="D790" s="5">
        <v>7.98</v>
      </c>
      <c r="E790" s="4" t="s">
        <v>6945</v>
      </c>
      <c r="F790" s="3" t="s">
        <v>5532</v>
      </c>
      <c r="G790" s="7" t="s">
        <v>5562</v>
      </c>
      <c r="H790" s="3" t="s">
        <v>6430</v>
      </c>
      <c r="I790" s="3" t="s">
        <v>6431</v>
      </c>
      <c r="J790" s="3" t="s">
        <v>5536</v>
      </c>
      <c r="K790" s="3" t="s">
        <v>5574</v>
      </c>
      <c r="L790" s="8" t="str">
        <f>HYPERLINK("http://slimages.macys.com/is/image/MCY/15188983 ")</f>
        <v xml:space="preserve">http://slimages.macys.com/is/image/MCY/15188983 </v>
      </c>
    </row>
    <row r="791" spans="1:12" ht="24.75" x14ac:dyDescent="0.25">
      <c r="A791" s="6" t="s">
        <v>387</v>
      </c>
      <c r="B791" s="3" t="s">
        <v>388</v>
      </c>
      <c r="C791" s="4">
        <v>4</v>
      </c>
      <c r="D791" s="5">
        <v>20</v>
      </c>
      <c r="E791" s="4" t="s">
        <v>389</v>
      </c>
      <c r="F791" s="3" t="s">
        <v>5540</v>
      </c>
      <c r="G791" s="7" t="s">
        <v>5898</v>
      </c>
      <c r="H791" s="3" t="s">
        <v>6632</v>
      </c>
      <c r="I791" s="3" t="s">
        <v>6969</v>
      </c>
      <c r="J791" s="3" t="s">
        <v>5536</v>
      </c>
      <c r="K791" s="3" t="s">
        <v>6974</v>
      </c>
      <c r="L791" s="8" t="str">
        <f>HYPERLINK("http://slimages.macys.com/is/image/MCY/10021808 ")</f>
        <v xml:space="preserve">http://slimages.macys.com/is/image/MCY/10021808 </v>
      </c>
    </row>
    <row r="792" spans="1:12" ht="24.75" x14ac:dyDescent="0.25">
      <c r="A792" s="6" t="s">
        <v>6946</v>
      </c>
      <c r="B792" s="3" t="s">
        <v>6947</v>
      </c>
      <c r="C792" s="4">
        <v>1</v>
      </c>
      <c r="D792" s="5">
        <v>6</v>
      </c>
      <c r="E792" s="4" t="s">
        <v>6948</v>
      </c>
      <c r="F792" s="3" t="s">
        <v>5532</v>
      </c>
      <c r="G792" s="7" t="s">
        <v>5898</v>
      </c>
      <c r="H792" s="3" t="s">
        <v>6632</v>
      </c>
      <c r="I792" s="3" t="s">
        <v>6633</v>
      </c>
      <c r="J792" s="3" t="s">
        <v>5536</v>
      </c>
      <c r="K792" s="3" t="s">
        <v>6634</v>
      </c>
      <c r="L792" s="8" t="str">
        <f>HYPERLINK("http://slimages.macys.com/is/image/MCY/14346677 ")</f>
        <v xml:space="preserve">http://slimages.macys.com/is/image/MCY/14346677 </v>
      </c>
    </row>
    <row r="793" spans="1:12" ht="24.75" x14ac:dyDescent="0.25">
      <c r="A793" s="6" t="s">
        <v>2612</v>
      </c>
      <c r="B793" s="3" t="s">
        <v>2613</v>
      </c>
      <c r="C793" s="4">
        <v>1</v>
      </c>
      <c r="D793" s="5">
        <v>6</v>
      </c>
      <c r="E793" s="4" t="s">
        <v>2614</v>
      </c>
      <c r="F793" s="3" t="s">
        <v>5540</v>
      </c>
      <c r="G793" s="7" t="s">
        <v>5898</v>
      </c>
      <c r="H793" s="3" t="s">
        <v>6632</v>
      </c>
      <c r="I793" s="3" t="s">
        <v>6633</v>
      </c>
      <c r="J793" s="3" t="s">
        <v>5536</v>
      </c>
      <c r="K793" s="3" t="s">
        <v>6634</v>
      </c>
      <c r="L793" s="8" t="str">
        <f>HYPERLINK("http://slimages.macys.com/is/image/MCY/14346524 ")</f>
        <v xml:space="preserve">http://slimages.macys.com/is/image/MCY/14346524 </v>
      </c>
    </row>
    <row r="794" spans="1:12" ht="24.75" x14ac:dyDescent="0.25">
      <c r="A794" s="6" t="s">
        <v>390</v>
      </c>
      <c r="B794" s="3" t="s">
        <v>6957</v>
      </c>
      <c r="C794" s="4">
        <v>2</v>
      </c>
      <c r="D794" s="5">
        <v>12</v>
      </c>
      <c r="E794" s="4" t="s">
        <v>6958</v>
      </c>
      <c r="F794" s="3" t="s">
        <v>5578</v>
      </c>
      <c r="G794" s="7" t="s">
        <v>5898</v>
      </c>
      <c r="H794" s="3" t="s">
        <v>6632</v>
      </c>
      <c r="I794" s="3" t="s">
        <v>6633</v>
      </c>
      <c r="J794" s="3" t="s">
        <v>5536</v>
      </c>
      <c r="K794" s="3" t="s">
        <v>6634</v>
      </c>
      <c r="L794" s="8" t="str">
        <f>HYPERLINK("http://slimages.macys.com/is/image/MCY/10787972 ")</f>
        <v xml:space="preserve">http://slimages.macys.com/is/image/MCY/10787972 </v>
      </c>
    </row>
    <row r="795" spans="1:12" ht="24.75" x14ac:dyDescent="0.25">
      <c r="A795" s="6" t="s">
        <v>6956</v>
      </c>
      <c r="B795" s="3" t="s">
        <v>6957</v>
      </c>
      <c r="C795" s="4">
        <v>1</v>
      </c>
      <c r="D795" s="5">
        <v>6</v>
      </c>
      <c r="E795" s="4" t="s">
        <v>6958</v>
      </c>
      <c r="F795" s="3" t="s">
        <v>5540</v>
      </c>
      <c r="G795" s="7" t="s">
        <v>5898</v>
      </c>
      <c r="H795" s="3" t="s">
        <v>6632</v>
      </c>
      <c r="I795" s="3" t="s">
        <v>6633</v>
      </c>
      <c r="J795" s="3" t="s">
        <v>5536</v>
      </c>
      <c r="K795" s="3" t="s">
        <v>6634</v>
      </c>
      <c r="L795" s="8" t="str">
        <f>HYPERLINK("http://slimages.macys.com/is/image/MCY/10787972 ")</f>
        <v xml:space="preserve">http://slimages.macys.com/is/image/MCY/10787972 </v>
      </c>
    </row>
    <row r="796" spans="1:12" ht="24.75" x14ac:dyDescent="0.25">
      <c r="A796" s="6" t="s">
        <v>6949</v>
      </c>
      <c r="B796" s="3" t="s">
        <v>6950</v>
      </c>
      <c r="C796" s="4">
        <v>1</v>
      </c>
      <c r="D796" s="5">
        <v>6</v>
      </c>
      <c r="E796" s="4" t="s">
        <v>6951</v>
      </c>
      <c r="F796" s="3" t="s">
        <v>5532</v>
      </c>
      <c r="G796" s="7" t="s">
        <v>5898</v>
      </c>
      <c r="H796" s="3" t="s">
        <v>6632</v>
      </c>
      <c r="I796" s="3" t="s">
        <v>6633</v>
      </c>
      <c r="J796" s="3" t="s">
        <v>5536</v>
      </c>
      <c r="K796" s="3" t="s">
        <v>6952</v>
      </c>
      <c r="L796" s="8" t="str">
        <f>HYPERLINK("http://slimages.macys.com/is/image/MCY/14346687 ")</f>
        <v xml:space="preserve">http://slimages.macys.com/is/image/MCY/14346687 </v>
      </c>
    </row>
    <row r="797" spans="1:12" ht="48.75" x14ac:dyDescent="0.25">
      <c r="A797" s="6" t="s">
        <v>6959</v>
      </c>
      <c r="B797" s="3" t="s">
        <v>6960</v>
      </c>
      <c r="C797" s="4">
        <v>1</v>
      </c>
      <c r="D797" s="5">
        <v>6</v>
      </c>
      <c r="E797" s="4" t="s">
        <v>6961</v>
      </c>
      <c r="F797" s="3" t="s">
        <v>5604</v>
      </c>
      <c r="G797" s="7" t="s">
        <v>5898</v>
      </c>
      <c r="H797" s="3" t="s">
        <v>6632</v>
      </c>
      <c r="I797" s="3" t="s">
        <v>6633</v>
      </c>
      <c r="J797" s="3" t="s">
        <v>5536</v>
      </c>
      <c r="K797" s="3" t="s">
        <v>6962</v>
      </c>
      <c r="L797" s="8" t="str">
        <f>HYPERLINK("http://slimages.macys.com/is/image/MCY/15668439 ")</f>
        <v xml:space="preserve">http://slimages.macys.com/is/image/MCY/15668439 </v>
      </c>
    </row>
    <row r="798" spans="1:12" ht="24.75" x14ac:dyDescent="0.25">
      <c r="A798" s="6" t="s">
        <v>391</v>
      </c>
      <c r="B798" s="3" t="s">
        <v>2623</v>
      </c>
      <c r="C798" s="4">
        <v>2</v>
      </c>
      <c r="D798" s="5">
        <v>12</v>
      </c>
      <c r="E798" s="4" t="s">
        <v>2624</v>
      </c>
      <c r="F798" s="3" t="s">
        <v>5820</v>
      </c>
      <c r="G798" s="7" t="s">
        <v>5898</v>
      </c>
      <c r="H798" s="3" t="s">
        <v>6632</v>
      </c>
      <c r="I798" s="3" t="s">
        <v>6633</v>
      </c>
      <c r="J798" s="3" t="s">
        <v>5536</v>
      </c>
      <c r="K798" s="3" t="s">
        <v>6634</v>
      </c>
      <c r="L798" s="8" t="str">
        <f>HYPERLINK("http://slimages.macys.com/is/image/MCY/11533652 ")</f>
        <v xml:space="preserve">http://slimages.macys.com/is/image/MCY/11533652 </v>
      </c>
    </row>
    <row r="799" spans="1:12" ht="48.75" x14ac:dyDescent="0.25">
      <c r="A799" s="6" t="s">
        <v>392</v>
      </c>
      <c r="B799" s="3" t="s">
        <v>393</v>
      </c>
      <c r="C799" s="4">
        <v>1</v>
      </c>
      <c r="D799" s="5">
        <v>6</v>
      </c>
      <c r="E799" s="4" t="s">
        <v>394</v>
      </c>
      <c r="F799" s="3" t="s">
        <v>5532</v>
      </c>
      <c r="G799" s="7" t="s">
        <v>5898</v>
      </c>
      <c r="H799" s="3" t="s">
        <v>6632</v>
      </c>
      <c r="I799" s="3" t="s">
        <v>6633</v>
      </c>
      <c r="J799" s="3" t="s">
        <v>5536</v>
      </c>
      <c r="K799" s="3" t="s">
        <v>395</v>
      </c>
      <c r="L799" s="8" t="str">
        <f>HYPERLINK("http://slimages.macys.com/is/image/MCY/12253384 ")</f>
        <v xml:space="preserve">http://slimages.macys.com/is/image/MCY/12253384 </v>
      </c>
    </row>
    <row r="800" spans="1:12" ht="24.75" x14ac:dyDescent="0.25">
      <c r="A800" s="6" t="s">
        <v>396</v>
      </c>
      <c r="B800" s="3" t="s">
        <v>4484</v>
      </c>
      <c r="C800" s="4">
        <v>1</v>
      </c>
      <c r="D800" s="5">
        <v>5</v>
      </c>
      <c r="E800" s="4" t="s">
        <v>4485</v>
      </c>
      <c r="F800" s="3" t="s">
        <v>5820</v>
      </c>
      <c r="G800" s="7" t="s">
        <v>5898</v>
      </c>
      <c r="H800" s="3" t="s">
        <v>6632</v>
      </c>
      <c r="I800" s="3" t="s">
        <v>6969</v>
      </c>
      <c r="J800" s="3" t="s">
        <v>5536</v>
      </c>
      <c r="K800" s="3" t="s">
        <v>6970</v>
      </c>
      <c r="L800" s="8" t="str">
        <f>HYPERLINK("http://slimages.macys.com/is/image/MCY/11533805 ")</f>
        <v xml:space="preserve">http://slimages.macys.com/is/image/MCY/11533805 </v>
      </c>
    </row>
    <row r="801" spans="1:12" ht="24.75" x14ac:dyDescent="0.25">
      <c r="A801" s="6" t="s">
        <v>397</v>
      </c>
      <c r="B801" s="3" t="s">
        <v>398</v>
      </c>
      <c r="C801" s="4">
        <v>1</v>
      </c>
      <c r="D801" s="5">
        <v>5</v>
      </c>
      <c r="E801" s="4" t="s">
        <v>399</v>
      </c>
      <c r="F801" s="3" t="s">
        <v>5540</v>
      </c>
      <c r="G801" s="7" t="s">
        <v>5898</v>
      </c>
      <c r="H801" s="3" t="s">
        <v>6632</v>
      </c>
      <c r="I801" s="3" t="s">
        <v>6969</v>
      </c>
      <c r="J801" s="3" t="s">
        <v>5536</v>
      </c>
      <c r="K801" s="3" t="s">
        <v>6970</v>
      </c>
      <c r="L801" s="8" t="str">
        <f>HYPERLINK("http://slimages.macys.com/is/image/MCY/11554673 ")</f>
        <v xml:space="preserve">http://slimages.macys.com/is/image/MCY/11554673 </v>
      </c>
    </row>
    <row r="802" spans="1:12" ht="24.75" x14ac:dyDescent="0.25">
      <c r="A802" s="6" t="s">
        <v>400</v>
      </c>
      <c r="B802" s="3" t="s">
        <v>401</v>
      </c>
      <c r="C802" s="4">
        <v>1</v>
      </c>
      <c r="D802" s="5">
        <v>5</v>
      </c>
      <c r="E802" s="4" t="s">
        <v>402</v>
      </c>
      <c r="F802" s="3" t="s">
        <v>5578</v>
      </c>
      <c r="G802" s="7" t="s">
        <v>5898</v>
      </c>
      <c r="H802" s="3" t="s">
        <v>6632</v>
      </c>
      <c r="I802" s="3" t="s">
        <v>6969</v>
      </c>
      <c r="J802" s="3" t="s">
        <v>5536</v>
      </c>
      <c r="K802" s="3" t="s">
        <v>6970</v>
      </c>
      <c r="L802" s="8" t="str">
        <f>HYPERLINK("http://slimages.macys.com/is/image/MCY/11645250 ")</f>
        <v xml:space="preserve">http://slimages.macys.com/is/image/MCY/11645250 </v>
      </c>
    </row>
    <row r="803" spans="1:12" ht="24.75" x14ac:dyDescent="0.25">
      <c r="A803" s="6" t="s">
        <v>6991</v>
      </c>
      <c r="B803" s="3" t="s">
        <v>6992</v>
      </c>
      <c r="C803" s="4">
        <v>1</v>
      </c>
      <c r="D803" s="5">
        <v>5</v>
      </c>
      <c r="E803" s="4" t="s">
        <v>6993</v>
      </c>
      <c r="F803" s="3" t="s">
        <v>5604</v>
      </c>
      <c r="G803" s="7" t="s">
        <v>5898</v>
      </c>
      <c r="H803" s="3" t="s">
        <v>6632</v>
      </c>
      <c r="I803" s="3" t="s">
        <v>6969</v>
      </c>
      <c r="J803" s="3" t="s">
        <v>5536</v>
      </c>
      <c r="K803" s="3" t="s">
        <v>6994</v>
      </c>
      <c r="L803" s="8" t="str">
        <f>HYPERLINK("http://slimages.macys.com/is/image/MCY/14345413 ")</f>
        <v xml:space="preserve">http://slimages.macys.com/is/image/MCY/14345413 </v>
      </c>
    </row>
    <row r="804" spans="1:12" ht="24.75" x14ac:dyDescent="0.25">
      <c r="A804" s="6" t="s">
        <v>6975</v>
      </c>
      <c r="B804" s="3" t="s">
        <v>6976</v>
      </c>
      <c r="C804" s="4">
        <v>3</v>
      </c>
      <c r="D804" s="5">
        <v>15</v>
      </c>
      <c r="E804" s="4" t="s">
        <v>6977</v>
      </c>
      <c r="F804" s="3" t="s">
        <v>5604</v>
      </c>
      <c r="G804" s="7" t="s">
        <v>5898</v>
      </c>
      <c r="H804" s="3" t="s">
        <v>6632</v>
      </c>
      <c r="I804" s="3" t="s">
        <v>6969</v>
      </c>
      <c r="J804" s="3" t="s">
        <v>5536</v>
      </c>
      <c r="K804" s="3" t="s">
        <v>6978</v>
      </c>
      <c r="L804" s="8" t="str">
        <f>HYPERLINK("http://slimages.macys.com/is/image/MCY/14346481 ")</f>
        <v xml:space="preserve">http://slimages.macys.com/is/image/MCY/14346481 </v>
      </c>
    </row>
    <row r="805" spans="1:12" ht="24.75" x14ac:dyDescent="0.25">
      <c r="A805" s="6" t="s">
        <v>7000</v>
      </c>
      <c r="B805" s="3" t="s">
        <v>6967</v>
      </c>
      <c r="C805" s="4">
        <v>1</v>
      </c>
      <c r="D805" s="5">
        <v>5</v>
      </c>
      <c r="E805" s="4" t="s">
        <v>6968</v>
      </c>
      <c r="F805" s="3" t="s">
        <v>5820</v>
      </c>
      <c r="G805" s="7" t="s">
        <v>5898</v>
      </c>
      <c r="H805" s="3" t="s">
        <v>6632</v>
      </c>
      <c r="I805" s="3" t="s">
        <v>6969</v>
      </c>
      <c r="J805" s="3" t="s">
        <v>5536</v>
      </c>
      <c r="K805" s="3" t="s">
        <v>6970</v>
      </c>
      <c r="L805" s="8" t="str">
        <f>HYPERLINK("http://slimages.macys.com/is/image/MCY/13811905 ")</f>
        <v xml:space="preserve">http://slimages.macys.com/is/image/MCY/13811905 </v>
      </c>
    </row>
    <row r="806" spans="1:12" ht="24.75" x14ac:dyDescent="0.25">
      <c r="A806" s="6" t="s">
        <v>7009</v>
      </c>
      <c r="B806" s="3" t="s">
        <v>6992</v>
      </c>
      <c r="C806" s="4">
        <v>2</v>
      </c>
      <c r="D806" s="5">
        <v>10</v>
      </c>
      <c r="E806" s="4" t="s">
        <v>6993</v>
      </c>
      <c r="F806" s="3" t="s">
        <v>7010</v>
      </c>
      <c r="G806" s="7" t="s">
        <v>5898</v>
      </c>
      <c r="H806" s="3" t="s">
        <v>6632</v>
      </c>
      <c r="I806" s="3" t="s">
        <v>6969</v>
      </c>
      <c r="J806" s="3" t="s">
        <v>5536</v>
      </c>
      <c r="K806" s="3" t="s">
        <v>6994</v>
      </c>
      <c r="L806" s="8" t="str">
        <f>HYPERLINK("http://slimages.macys.com/is/image/MCY/14345413 ")</f>
        <v xml:space="preserve">http://slimages.macys.com/is/image/MCY/14345413 </v>
      </c>
    </row>
    <row r="807" spans="1:12" ht="24.75" x14ac:dyDescent="0.25">
      <c r="A807" s="6" t="s">
        <v>6966</v>
      </c>
      <c r="B807" s="3" t="s">
        <v>6967</v>
      </c>
      <c r="C807" s="4">
        <v>1</v>
      </c>
      <c r="D807" s="5">
        <v>5</v>
      </c>
      <c r="E807" s="4" t="s">
        <v>6968</v>
      </c>
      <c r="F807" s="3" t="s">
        <v>5604</v>
      </c>
      <c r="G807" s="7" t="s">
        <v>5898</v>
      </c>
      <c r="H807" s="3" t="s">
        <v>6632</v>
      </c>
      <c r="I807" s="3" t="s">
        <v>6969</v>
      </c>
      <c r="J807" s="3" t="s">
        <v>5536</v>
      </c>
      <c r="K807" s="3" t="s">
        <v>6970</v>
      </c>
      <c r="L807" s="8" t="str">
        <f>HYPERLINK("http://slimages.macys.com/is/image/MCY/13811905 ")</f>
        <v xml:space="preserve">http://slimages.macys.com/is/image/MCY/13811905 </v>
      </c>
    </row>
    <row r="808" spans="1:12" ht="24.75" x14ac:dyDescent="0.25">
      <c r="A808" s="6" t="s">
        <v>6995</v>
      </c>
      <c r="B808" s="3" t="s">
        <v>6985</v>
      </c>
      <c r="C808" s="4">
        <v>1</v>
      </c>
      <c r="D808" s="5">
        <v>5</v>
      </c>
      <c r="E808" s="4" t="s">
        <v>6986</v>
      </c>
      <c r="F808" s="3" t="s">
        <v>5661</v>
      </c>
      <c r="G808" s="7" t="s">
        <v>5898</v>
      </c>
      <c r="H808" s="3" t="s">
        <v>6632</v>
      </c>
      <c r="I808" s="3" t="s">
        <v>6969</v>
      </c>
      <c r="J808" s="3" t="s">
        <v>5536</v>
      </c>
      <c r="K808" s="3" t="s">
        <v>6974</v>
      </c>
      <c r="L808" s="8" t="str">
        <f>HYPERLINK("http://slimages.macys.com/is/image/MCY/9843724 ")</f>
        <v xml:space="preserve">http://slimages.macys.com/is/image/MCY/9843724 </v>
      </c>
    </row>
    <row r="809" spans="1:12" ht="24.75" x14ac:dyDescent="0.25">
      <c r="A809" s="6" t="s">
        <v>403</v>
      </c>
      <c r="B809" s="3" t="s">
        <v>404</v>
      </c>
      <c r="C809" s="4">
        <v>1</v>
      </c>
      <c r="D809" s="5">
        <v>6</v>
      </c>
      <c r="E809" s="4">
        <v>100012365</v>
      </c>
      <c r="F809" s="3" t="s">
        <v>5625</v>
      </c>
      <c r="G809" s="7" t="s">
        <v>5898</v>
      </c>
      <c r="H809" s="3" t="s">
        <v>6632</v>
      </c>
      <c r="I809" s="3" t="s">
        <v>6633</v>
      </c>
      <c r="J809" s="3" t="s">
        <v>5536</v>
      </c>
      <c r="K809" s="3" t="s">
        <v>6634</v>
      </c>
      <c r="L809" s="8" t="str">
        <f>HYPERLINK("http://slimages.macys.com/is/image/MCY/10023859 ")</f>
        <v xml:space="preserve">http://slimages.macys.com/is/image/MCY/10023859 </v>
      </c>
    </row>
    <row r="810" spans="1:12" x14ac:dyDescent="0.25">
      <c r="A810" s="6" t="s">
        <v>405</v>
      </c>
      <c r="B810" s="3" t="s">
        <v>406</v>
      </c>
      <c r="C810" s="4">
        <v>1</v>
      </c>
      <c r="D810" s="5">
        <v>85</v>
      </c>
      <c r="E810" s="4">
        <v>710783656017</v>
      </c>
      <c r="F810" s="3" t="s">
        <v>6217</v>
      </c>
      <c r="G810" s="7" t="s">
        <v>5598</v>
      </c>
      <c r="H810" s="3" t="s">
        <v>5534</v>
      </c>
      <c r="I810" s="3" t="s">
        <v>5535</v>
      </c>
      <c r="J810" s="3"/>
      <c r="K810" s="3"/>
      <c r="L810" s="8"/>
    </row>
    <row r="811" spans="1:12" ht="24.75" x14ac:dyDescent="0.25">
      <c r="A811" s="6" t="s">
        <v>407</v>
      </c>
      <c r="B811" s="3" t="s">
        <v>5216</v>
      </c>
      <c r="C811" s="4">
        <v>1</v>
      </c>
      <c r="D811" s="5">
        <v>25</v>
      </c>
      <c r="E811" s="4" t="s">
        <v>5217</v>
      </c>
      <c r="F811" s="3" t="s">
        <v>5540</v>
      </c>
      <c r="G811" s="7"/>
      <c r="H811" s="3" t="s">
        <v>5825</v>
      </c>
      <c r="I811" s="3" t="s">
        <v>6265</v>
      </c>
      <c r="J811" s="3"/>
      <c r="K811" s="3"/>
      <c r="L811" s="8"/>
    </row>
    <row r="812" spans="1:12" ht="24.75" x14ac:dyDescent="0.25">
      <c r="A812" s="6" t="s">
        <v>408</v>
      </c>
      <c r="B812" s="3" t="s">
        <v>5216</v>
      </c>
      <c r="C812" s="4">
        <v>1</v>
      </c>
      <c r="D812" s="5">
        <v>25</v>
      </c>
      <c r="E812" s="4" t="s">
        <v>5217</v>
      </c>
      <c r="F812" s="3" t="s">
        <v>5540</v>
      </c>
      <c r="G812" s="7"/>
      <c r="H812" s="3" t="s">
        <v>5825</v>
      </c>
      <c r="I812" s="3" t="s">
        <v>6265</v>
      </c>
      <c r="J812" s="3"/>
      <c r="K812" s="3"/>
      <c r="L812" s="8"/>
    </row>
    <row r="813" spans="1:12" ht="24.75" x14ac:dyDescent="0.25">
      <c r="A813" s="6" t="s">
        <v>409</v>
      </c>
      <c r="B813" s="3" t="s">
        <v>410</v>
      </c>
      <c r="C813" s="4">
        <v>1</v>
      </c>
      <c r="D813" s="5">
        <v>28</v>
      </c>
      <c r="E813" s="4">
        <v>81592602</v>
      </c>
      <c r="F813" s="3" t="s">
        <v>5661</v>
      </c>
      <c r="G813" s="7" t="s">
        <v>5898</v>
      </c>
      <c r="H813" s="3" t="s">
        <v>6280</v>
      </c>
      <c r="I813" s="3" t="s">
        <v>6281</v>
      </c>
      <c r="J813" s="3"/>
      <c r="K813" s="3"/>
      <c r="L813" s="8"/>
    </row>
    <row r="814" spans="1:12" ht="24.75" x14ac:dyDescent="0.25">
      <c r="A814" s="6" t="s">
        <v>411</v>
      </c>
      <c r="B814" s="3" t="s">
        <v>412</v>
      </c>
      <c r="C814" s="4">
        <v>1</v>
      </c>
      <c r="D814" s="5">
        <v>28</v>
      </c>
      <c r="E814" s="4">
        <v>87592607</v>
      </c>
      <c r="F814" s="3" t="s">
        <v>5532</v>
      </c>
      <c r="G814" s="7" t="s">
        <v>5898</v>
      </c>
      <c r="H814" s="3" t="s">
        <v>6280</v>
      </c>
      <c r="I814" s="3" t="s">
        <v>6281</v>
      </c>
      <c r="J814" s="3"/>
      <c r="K814" s="3"/>
      <c r="L814" s="8"/>
    </row>
    <row r="815" spans="1:12" ht="24.75" x14ac:dyDescent="0.25">
      <c r="A815" s="6" t="s">
        <v>413</v>
      </c>
      <c r="B815" s="3" t="s">
        <v>414</v>
      </c>
      <c r="C815" s="4">
        <v>1</v>
      </c>
      <c r="D815" s="5">
        <v>28</v>
      </c>
      <c r="E815" s="4" t="s">
        <v>415</v>
      </c>
      <c r="F815" s="3" t="s">
        <v>6983</v>
      </c>
      <c r="G815" s="7" t="s">
        <v>5898</v>
      </c>
      <c r="H815" s="3" t="s">
        <v>6280</v>
      </c>
      <c r="I815" s="3" t="s">
        <v>6288</v>
      </c>
      <c r="J815" s="3"/>
      <c r="K815" s="3"/>
      <c r="L815" s="8"/>
    </row>
    <row r="816" spans="1:12" ht="24.75" x14ac:dyDescent="0.25">
      <c r="A816" s="6" t="s">
        <v>416</v>
      </c>
      <c r="B816" s="3" t="s">
        <v>417</v>
      </c>
      <c r="C816" s="4">
        <v>1</v>
      </c>
      <c r="D816" s="5">
        <v>28</v>
      </c>
      <c r="E816" s="4">
        <v>81992403</v>
      </c>
      <c r="F816" s="3" t="s">
        <v>5532</v>
      </c>
      <c r="G816" s="7" t="s">
        <v>5898</v>
      </c>
      <c r="H816" s="3" t="s">
        <v>6280</v>
      </c>
      <c r="I816" s="3" t="s">
        <v>6281</v>
      </c>
      <c r="J816" s="3"/>
      <c r="K816" s="3"/>
      <c r="L816" s="8"/>
    </row>
    <row r="817" spans="1:12" ht="24.75" x14ac:dyDescent="0.25">
      <c r="A817" s="6" t="s">
        <v>418</v>
      </c>
      <c r="B817" s="3" t="s">
        <v>610</v>
      </c>
      <c r="C817" s="4">
        <v>1</v>
      </c>
      <c r="D817" s="5">
        <v>25</v>
      </c>
      <c r="E817" s="4" t="s">
        <v>611</v>
      </c>
      <c r="F817" s="3" t="s">
        <v>5783</v>
      </c>
      <c r="G817" s="7"/>
      <c r="H817" s="3" t="s">
        <v>5825</v>
      </c>
      <c r="I817" s="3" t="s">
        <v>6265</v>
      </c>
      <c r="J817" s="3"/>
      <c r="K817" s="3"/>
      <c r="L817" s="8"/>
    </row>
    <row r="818" spans="1:12" ht="24.75" x14ac:dyDescent="0.25">
      <c r="A818" s="6" t="s">
        <v>419</v>
      </c>
      <c r="B818" s="3" t="s">
        <v>610</v>
      </c>
      <c r="C818" s="4">
        <v>2</v>
      </c>
      <c r="D818" s="5">
        <v>50</v>
      </c>
      <c r="E818" s="4" t="s">
        <v>611</v>
      </c>
      <c r="F818" s="3" t="s">
        <v>5783</v>
      </c>
      <c r="G818" s="7"/>
      <c r="H818" s="3" t="s">
        <v>5825</v>
      </c>
      <c r="I818" s="3" t="s">
        <v>6265</v>
      </c>
      <c r="J818" s="3"/>
      <c r="K818" s="3"/>
      <c r="L818" s="8"/>
    </row>
    <row r="819" spans="1:12" ht="24.75" x14ac:dyDescent="0.25">
      <c r="A819" s="6" t="s">
        <v>420</v>
      </c>
      <c r="B819" s="3" t="s">
        <v>610</v>
      </c>
      <c r="C819" s="4">
        <v>2</v>
      </c>
      <c r="D819" s="5">
        <v>50</v>
      </c>
      <c r="E819" s="4" t="s">
        <v>611</v>
      </c>
      <c r="F819" s="3" t="s">
        <v>5783</v>
      </c>
      <c r="G819" s="7"/>
      <c r="H819" s="3" t="s">
        <v>5825</v>
      </c>
      <c r="I819" s="3" t="s">
        <v>6265</v>
      </c>
      <c r="J819" s="3"/>
      <c r="K819" s="3"/>
      <c r="L819" s="8"/>
    </row>
    <row r="820" spans="1:12" ht="24.75" x14ac:dyDescent="0.25">
      <c r="A820" s="6" t="s">
        <v>609</v>
      </c>
      <c r="B820" s="3" t="s">
        <v>610</v>
      </c>
      <c r="C820" s="4">
        <v>2</v>
      </c>
      <c r="D820" s="5">
        <v>50</v>
      </c>
      <c r="E820" s="4" t="s">
        <v>611</v>
      </c>
      <c r="F820" s="3" t="s">
        <v>5783</v>
      </c>
      <c r="G820" s="7"/>
      <c r="H820" s="3" t="s">
        <v>5825</v>
      </c>
      <c r="I820" s="3" t="s">
        <v>6265</v>
      </c>
      <c r="J820" s="3"/>
      <c r="K820" s="3"/>
      <c r="L820" s="8"/>
    </row>
    <row r="821" spans="1:12" ht="24.75" x14ac:dyDescent="0.25">
      <c r="A821" s="6" t="s">
        <v>421</v>
      </c>
      <c r="B821" s="3" t="s">
        <v>422</v>
      </c>
      <c r="C821" s="4">
        <v>1</v>
      </c>
      <c r="D821" s="5">
        <v>22.25</v>
      </c>
      <c r="E821" s="4" t="s">
        <v>423</v>
      </c>
      <c r="F821" s="3" t="s">
        <v>6335</v>
      </c>
      <c r="G821" s="7" t="s">
        <v>5898</v>
      </c>
      <c r="H821" s="3" t="s">
        <v>6280</v>
      </c>
      <c r="I821" s="3" t="s">
        <v>6533</v>
      </c>
      <c r="J821" s="3"/>
      <c r="K821" s="3"/>
      <c r="L821" s="8"/>
    </row>
    <row r="822" spans="1:12" ht="24.75" x14ac:dyDescent="0.25">
      <c r="A822" s="6" t="s">
        <v>424</v>
      </c>
      <c r="B822" s="3" t="s">
        <v>422</v>
      </c>
      <c r="C822" s="4">
        <v>1</v>
      </c>
      <c r="D822" s="5">
        <v>22.25</v>
      </c>
      <c r="E822" s="4" t="s">
        <v>423</v>
      </c>
      <c r="F822" s="3" t="s">
        <v>5532</v>
      </c>
      <c r="G822" s="7" t="s">
        <v>5898</v>
      </c>
      <c r="H822" s="3" t="s">
        <v>6280</v>
      </c>
      <c r="I822" s="3" t="s">
        <v>6533</v>
      </c>
      <c r="J822" s="3"/>
      <c r="K822" s="3"/>
      <c r="L822" s="8"/>
    </row>
    <row r="823" spans="1:12" ht="24.75" x14ac:dyDescent="0.25">
      <c r="A823" s="6" t="s">
        <v>425</v>
      </c>
      <c r="B823" s="3" t="s">
        <v>426</v>
      </c>
      <c r="C823" s="4">
        <v>1</v>
      </c>
      <c r="D823" s="5">
        <v>12.99</v>
      </c>
      <c r="E823" s="4" t="s">
        <v>427</v>
      </c>
      <c r="F823" s="3" t="s">
        <v>5811</v>
      </c>
      <c r="G823" s="7" t="s">
        <v>5533</v>
      </c>
      <c r="H823" s="3" t="s">
        <v>6003</v>
      </c>
      <c r="I823" s="3" t="s">
        <v>6004</v>
      </c>
      <c r="J823" s="3"/>
      <c r="K823" s="3"/>
      <c r="L823" s="8"/>
    </row>
    <row r="824" spans="1:12" x14ac:dyDescent="0.25">
      <c r="A824" s="6" t="s">
        <v>428</v>
      </c>
      <c r="B824" s="3" t="s">
        <v>429</v>
      </c>
      <c r="C824" s="4">
        <v>1</v>
      </c>
      <c r="D824" s="5">
        <v>12.99</v>
      </c>
      <c r="E824" s="4" t="s">
        <v>430</v>
      </c>
      <c r="F824" s="3" t="s">
        <v>5977</v>
      </c>
      <c r="G824" s="7" t="s">
        <v>5562</v>
      </c>
      <c r="H824" s="3" t="s">
        <v>6003</v>
      </c>
      <c r="I824" s="3" t="s">
        <v>6004</v>
      </c>
      <c r="J824" s="3"/>
      <c r="K824" s="3"/>
      <c r="L824" s="8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582"/>
  <sheetViews>
    <sheetView tabSelected="1" workbookViewId="0">
      <selection activeCell="G12" sqref="G12"/>
    </sheetView>
  </sheetViews>
  <sheetFormatPr defaultRowHeight="15" x14ac:dyDescent="0.25"/>
  <cols>
    <col min="1" max="1" width="14.28515625" customWidth="1"/>
    <col min="2" max="2" width="24.5703125" customWidth="1"/>
    <col min="3" max="3" width="15" customWidth="1"/>
    <col min="4" max="4" width="10.28515625" customWidth="1"/>
    <col min="5" max="5" width="13.710937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s="1" customFormat="1" x14ac:dyDescent="0.25"/>
    <row r="2" spans="1:12" ht="36" x14ac:dyDescent="0.25">
      <c r="A2" s="2" t="s">
        <v>5519</v>
      </c>
      <c r="B2" s="2" t="s">
        <v>5520</v>
      </c>
      <c r="C2" s="2" t="s">
        <v>5521</v>
      </c>
      <c r="D2" s="2" t="s">
        <v>5518</v>
      </c>
      <c r="E2" s="2" t="s">
        <v>5522</v>
      </c>
      <c r="F2" s="2" t="s">
        <v>5523</v>
      </c>
      <c r="G2" s="2" t="s">
        <v>5524</v>
      </c>
      <c r="H2" s="2" t="s">
        <v>5525</v>
      </c>
      <c r="I2" s="2" t="s">
        <v>5526</v>
      </c>
      <c r="J2" s="2" t="s">
        <v>5527</v>
      </c>
      <c r="K2" s="2" t="s">
        <v>5528</v>
      </c>
      <c r="L2" s="2" t="s">
        <v>5529</v>
      </c>
    </row>
    <row r="3" spans="1:12" ht="24.75" x14ac:dyDescent="0.25">
      <c r="A3" s="6" t="s">
        <v>5530</v>
      </c>
      <c r="B3" s="3" t="s">
        <v>5531</v>
      </c>
      <c r="C3" s="4">
        <v>1</v>
      </c>
      <c r="D3" s="5">
        <v>248</v>
      </c>
      <c r="E3" s="4">
        <v>710732990002</v>
      </c>
      <c r="F3" s="3" t="s">
        <v>5532</v>
      </c>
      <c r="G3" s="7" t="s">
        <v>5533</v>
      </c>
      <c r="H3" s="3" t="s">
        <v>5534</v>
      </c>
      <c r="I3" s="3" t="s">
        <v>5535</v>
      </c>
      <c r="J3" s="3" t="s">
        <v>5536</v>
      </c>
      <c r="K3" s="3" t="s">
        <v>5537</v>
      </c>
      <c r="L3" s="8" t="str">
        <f>HYPERLINK("http://slimages.macys.com/is/image/MCY/16027105 ")</f>
        <v xml:space="preserve">http://slimages.macys.com/is/image/MCY/16027105 </v>
      </c>
    </row>
    <row r="4" spans="1:12" ht="60.75" x14ac:dyDescent="0.25">
      <c r="A4" s="6" t="s">
        <v>5538</v>
      </c>
      <c r="B4" s="3" t="s">
        <v>5539</v>
      </c>
      <c r="C4" s="4">
        <v>1</v>
      </c>
      <c r="D4" s="5">
        <v>125</v>
      </c>
      <c r="E4" s="4">
        <v>710787746001</v>
      </c>
      <c r="F4" s="3" t="s">
        <v>5540</v>
      </c>
      <c r="G4" s="7" t="s">
        <v>5541</v>
      </c>
      <c r="H4" s="3" t="s">
        <v>5534</v>
      </c>
      <c r="I4" s="3" t="s">
        <v>5535</v>
      </c>
      <c r="J4" s="3" t="s">
        <v>5536</v>
      </c>
      <c r="K4" s="3" t="s">
        <v>5542</v>
      </c>
      <c r="L4" s="8" t="str">
        <f>HYPERLINK("http://slimages.macys.com/is/image/MCY/16055086 ")</f>
        <v xml:space="preserve">http://slimages.macys.com/is/image/MCY/16055086 </v>
      </c>
    </row>
    <row r="5" spans="1:12" ht="24.75" x14ac:dyDescent="0.25">
      <c r="A5" s="6" t="s">
        <v>5543</v>
      </c>
      <c r="B5" s="3" t="s">
        <v>5544</v>
      </c>
      <c r="C5" s="4">
        <v>1</v>
      </c>
      <c r="D5" s="5">
        <v>109</v>
      </c>
      <c r="E5" s="4" t="s">
        <v>5545</v>
      </c>
      <c r="F5" s="3" t="s">
        <v>5546</v>
      </c>
      <c r="G5" s="7" t="s">
        <v>5533</v>
      </c>
      <c r="H5" s="3" t="s">
        <v>5547</v>
      </c>
      <c r="I5" s="3" t="s">
        <v>5548</v>
      </c>
      <c r="J5" s="3" t="s">
        <v>5536</v>
      </c>
      <c r="K5" s="3" t="s">
        <v>5549</v>
      </c>
      <c r="L5" s="8" t="str">
        <f>HYPERLINK("http://slimages.macys.com/is/image/MCY/15440624 ")</f>
        <v xml:space="preserve">http://slimages.macys.com/is/image/MCY/15440624 </v>
      </c>
    </row>
    <row r="6" spans="1:12" x14ac:dyDescent="0.25">
      <c r="A6" s="6" t="s">
        <v>5550</v>
      </c>
      <c r="B6" s="3" t="s">
        <v>5551</v>
      </c>
      <c r="C6" s="4">
        <v>2</v>
      </c>
      <c r="D6" s="5">
        <v>220</v>
      </c>
      <c r="E6" s="4">
        <v>710701611032</v>
      </c>
      <c r="F6" s="3" t="s">
        <v>5552</v>
      </c>
      <c r="G6" s="7" t="s">
        <v>5533</v>
      </c>
      <c r="H6" s="3" t="s">
        <v>5534</v>
      </c>
      <c r="I6" s="3" t="s">
        <v>5535</v>
      </c>
      <c r="J6" s="3" t="s">
        <v>5536</v>
      </c>
      <c r="K6" s="3" t="s">
        <v>5553</v>
      </c>
      <c r="L6" s="8" t="str">
        <f>HYPERLINK("http://slimages.macys.com/is/image/MCY/10002586 ")</f>
        <v xml:space="preserve">http://slimages.macys.com/is/image/MCY/10002586 </v>
      </c>
    </row>
    <row r="7" spans="1:12" ht="24.75" x14ac:dyDescent="0.25">
      <c r="A7" s="6" t="s">
        <v>5554</v>
      </c>
      <c r="B7" s="3" t="s">
        <v>5555</v>
      </c>
      <c r="C7" s="4">
        <v>1</v>
      </c>
      <c r="D7" s="5">
        <v>98.5</v>
      </c>
      <c r="E7" s="4">
        <v>710718395014</v>
      </c>
      <c r="F7" s="3" t="s">
        <v>5556</v>
      </c>
      <c r="G7" s="7" t="s">
        <v>5557</v>
      </c>
      <c r="H7" s="3" t="s">
        <v>5534</v>
      </c>
      <c r="I7" s="3" t="s">
        <v>5535</v>
      </c>
      <c r="J7" s="3" t="s">
        <v>5536</v>
      </c>
      <c r="K7" s="3" t="s">
        <v>5558</v>
      </c>
      <c r="L7" s="8" t="str">
        <f>HYPERLINK("http://slimages.macys.com/is/image/MCY/10225570 ")</f>
        <v xml:space="preserve">http://slimages.macys.com/is/image/MCY/10225570 </v>
      </c>
    </row>
    <row r="8" spans="1:12" x14ac:dyDescent="0.25">
      <c r="A8" s="6" t="s">
        <v>5559</v>
      </c>
      <c r="B8" s="3" t="s">
        <v>5551</v>
      </c>
      <c r="C8" s="4">
        <v>2</v>
      </c>
      <c r="D8" s="5">
        <v>220</v>
      </c>
      <c r="E8" s="4">
        <v>710701611032</v>
      </c>
      <c r="F8" s="3" t="s">
        <v>5552</v>
      </c>
      <c r="G8" s="7" t="s">
        <v>5560</v>
      </c>
      <c r="H8" s="3" t="s">
        <v>5534</v>
      </c>
      <c r="I8" s="3" t="s">
        <v>5535</v>
      </c>
      <c r="J8" s="3" t="s">
        <v>5536</v>
      </c>
      <c r="K8" s="3" t="s">
        <v>5553</v>
      </c>
      <c r="L8" s="8" t="str">
        <f>HYPERLINK("http://slimages.macys.com/is/image/MCY/10002586 ")</f>
        <v xml:space="preserve">http://slimages.macys.com/is/image/MCY/10002586 </v>
      </c>
    </row>
    <row r="9" spans="1:12" x14ac:dyDescent="0.25">
      <c r="A9" s="6" t="s">
        <v>5561</v>
      </c>
      <c r="B9" s="3" t="s">
        <v>5551</v>
      </c>
      <c r="C9" s="4">
        <v>1</v>
      </c>
      <c r="D9" s="5">
        <v>110</v>
      </c>
      <c r="E9" s="4">
        <v>710701611032</v>
      </c>
      <c r="F9" s="3" t="s">
        <v>5552</v>
      </c>
      <c r="G9" s="7" t="s">
        <v>5562</v>
      </c>
      <c r="H9" s="3" t="s">
        <v>5534</v>
      </c>
      <c r="I9" s="3" t="s">
        <v>5535</v>
      </c>
      <c r="J9" s="3" t="s">
        <v>5536</v>
      </c>
      <c r="K9" s="3" t="s">
        <v>5553</v>
      </c>
      <c r="L9" s="8" t="str">
        <f>HYPERLINK("http://slimages.macys.com/is/image/MCY/10002586 ")</f>
        <v xml:space="preserve">http://slimages.macys.com/is/image/MCY/10002586 </v>
      </c>
    </row>
    <row r="10" spans="1:12" ht="24.75" x14ac:dyDescent="0.25">
      <c r="A10" s="6" t="s">
        <v>5563</v>
      </c>
      <c r="B10" s="3" t="s">
        <v>5564</v>
      </c>
      <c r="C10" s="4">
        <v>1</v>
      </c>
      <c r="D10" s="5">
        <v>99</v>
      </c>
      <c r="E10" s="4" t="s">
        <v>5565</v>
      </c>
      <c r="F10" s="3" t="s">
        <v>5566</v>
      </c>
      <c r="G10" s="7" t="s">
        <v>5567</v>
      </c>
      <c r="H10" s="3" t="s">
        <v>5547</v>
      </c>
      <c r="I10" s="3" t="s">
        <v>5548</v>
      </c>
      <c r="J10" s="3" t="s">
        <v>5536</v>
      </c>
      <c r="K10" s="3" t="s">
        <v>5568</v>
      </c>
      <c r="L10" s="8" t="str">
        <f>HYPERLINK("http://slimages.macys.com/is/image/MCY/9975736 ")</f>
        <v xml:space="preserve">http://slimages.macys.com/is/image/MCY/9975736 </v>
      </c>
    </row>
    <row r="11" spans="1:12" ht="24.75" x14ac:dyDescent="0.25">
      <c r="A11" s="6" t="s">
        <v>5569</v>
      </c>
      <c r="B11" s="3" t="s">
        <v>5570</v>
      </c>
      <c r="C11" s="4">
        <v>1</v>
      </c>
      <c r="D11" s="5">
        <v>89</v>
      </c>
      <c r="E11" s="4" t="s">
        <v>5571</v>
      </c>
      <c r="F11" s="3" t="s">
        <v>5572</v>
      </c>
      <c r="G11" s="7" t="s">
        <v>5573</v>
      </c>
      <c r="H11" s="3" t="s">
        <v>5547</v>
      </c>
      <c r="I11" s="3" t="s">
        <v>5548</v>
      </c>
      <c r="J11" s="3" t="s">
        <v>5536</v>
      </c>
      <c r="K11" s="3" t="s">
        <v>5574</v>
      </c>
      <c r="L11" s="8" t="str">
        <f>HYPERLINK("http://slimages.macys.com/is/image/MCY/16070387 ")</f>
        <v xml:space="preserve">http://slimages.macys.com/is/image/MCY/16070387 </v>
      </c>
    </row>
    <row r="12" spans="1:12" x14ac:dyDescent="0.25">
      <c r="A12" s="6" t="s">
        <v>5575</v>
      </c>
      <c r="B12" s="3" t="s">
        <v>5576</v>
      </c>
      <c r="C12" s="4">
        <v>1</v>
      </c>
      <c r="D12" s="5">
        <v>89</v>
      </c>
      <c r="E12" s="4" t="s">
        <v>5577</v>
      </c>
      <c r="F12" s="3" t="s">
        <v>5578</v>
      </c>
      <c r="G12" s="7" t="s">
        <v>5579</v>
      </c>
      <c r="H12" s="3" t="s">
        <v>5547</v>
      </c>
      <c r="I12" s="3" t="s">
        <v>5548</v>
      </c>
      <c r="J12" s="3" t="s">
        <v>5536</v>
      </c>
      <c r="K12" s="3" t="s">
        <v>5580</v>
      </c>
      <c r="L12" s="8" t="str">
        <f>HYPERLINK("http://slimages.macys.com/is/image/MCY/8672739 ")</f>
        <v xml:space="preserve">http://slimages.macys.com/is/image/MCY/8672739 </v>
      </c>
    </row>
    <row r="13" spans="1:12" ht="24.75" x14ac:dyDescent="0.25">
      <c r="A13" s="6" t="s">
        <v>5581</v>
      </c>
      <c r="B13" s="3" t="s">
        <v>5570</v>
      </c>
      <c r="C13" s="4">
        <v>1</v>
      </c>
      <c r="D13" s="5">
        <v>89</v>
      </c>
      <c r="E13" s="4" t="s">
        <v>5571</v>
      </c>
      <c r="F13" s="3" t="s">
        <v>5572</v>
      </c>
      <c r="G13" s="7" t="s">
        <v>5582</v>
      </c>
      <c r="H13" s="3" t="s">
        <v>5547</v>
      </c>
      <c r="I13" s="3" t="s">
        <v>5548</v>
      </c>
      <c r="J13" s="3" t="s">
        <v>5536</v>
      </c>
      <c r="K13" s="3" t="s">
        <v>5574</v>
      </c>
      <c r="L13" s="8" t="str">
        <f>HYPERLINK("http://slimages.macys.com/is/image/MCY/16070387 ")</f>
        <v xml:space="preserve">http://slimages.macys.com/is/image/MCY/16070387 </v>
      </c>
    </row>
    <row r="14" spans="1:12" x14ac:dyDescent="0.25">
      <c r="A14" s="6" t="s">
        <v>5583</v>
      </c>
      <c r="B14" s="3" t="s">
        <v>5584</v>
      </c>
      <c r="C14" s="4">
        <v>1</v>
      </c>
      <c r="D14" s="5">
        <v>149.5</v>
      </c>
      <c r="E14" s="4">
        <v>100075980</v>
      </c>
      <c r="F14" s="3" t="s">
        <v>5532</v>
      </c>
      <c r="G14" s="7" t="s">
        <v>5533</v>
      </c>
      <c r="H14" s="3" t="s">
        <v>5585</v>
      </c>
      <c r="I14" s="3" t="s">
        <v>5586</v>
      </c>
      <c r="J14" s="3" t="s">
        <v>5536</v>
      </c>
      <c r="K14" s="3" t="s">
        <v>5587</v>
      </c>
      <c r="L14" s="8" t="str">
        <f>HYPERLINK("http://slimages.macys.com/is/image/MCY/15328879 ")</f>
        <v xml:space="preserve">http://slimages.macys.com/is/image/MCY/15328879 </v>
      </c>
    </row>
    <row r="15" spans="1:12" ht="60.75" x14ac:dyDescent="0.25">
      <c r="A15" s="6" t="s">
        <v>5588</v>
      </c>
      <c r="B15" s="3" t="s">
        <v>5589</v>
      </c>
      <c r="C15" s="4">
        <v>1</v>
      </c>
      <c r="D15" s="5">
        <v>89.5</v>
      </c>
      <c r="E15" s="4">
        <v>710680863017</v>
      </c>
      <c r="F15" s="3" t="s">
        <v>5532</v>
      </c>
      <c r="G15" s="7" t="s">
        <v>5562</v>
      </c>
      <c r="H15" s="3" t="s">
        <v>5534</v>
      </c>
      <c r="I15" s="3" t="s">
        <v>5535</v>
      </c>
      <c r="J15" s="3" t="s">
        <v>5536</v>
      </c>
      <c r="K15" s="3" t="s">
        <v>5590</v>
      </c>
      <c r="L15" s="8" t="str">
        <f>HYPERLINK("http://slimages.macys.com/is/image/MCY/15666656 ")</f>
        <v xml:space="preserve">http://slimages.macys.com/is/image/MCY/15666656 </v>
      </c>
    </row>
    <row r="16" spans="1:12" ht="24.75" x14ac:dyDescent="0.25">
      <c r="A16" s="6" t="s">
        <v>5591</v>
      </c>
      <c r="B16" s="3" t="s">
        <v>5592</v>
      </c>
      <c r="C16" s="4">
        <v>1</v>
      </c>
      <c r="D16" s="5">
        <v>89.5</v>
      </c>
      <c r="E16" s="4">
        <v>710746025005</v>
      </c>
      <c r="F16" s="3" t="s">
        <v>5593</v>
      </c>
      <c r="G16" s="7" t="s">
        <v>5533</v>
      </c>
      <c r="H16" s="3" t="s">
        <v>5534</v>
      </c>
      <c r="I16" s="3" t="s">
        <v>5535</v>
      </c>
      <c r="J16" s="3" t="s">
        <v>5536</v>
      </c>
      <c r="K16" s="3" t="s">
        <v>5594</v>
      </c>
      <c r="L16" s="8" t="str">
        <f>HYPERLINK("http://slimages.macys.com/is/image/MCY/12932538 ")</f>
        <v xml:space="preserve">http://slimages.macys.com/is/image/MCY/12932538 </v>
      </c>
    </row>
    <row r="17" spans="1:12" ht="60.75" x14ac:dyDescent="0.25">
      <c r="A17" s="6" t="s">
        <v>5595</v>
      </c>
      <c r="B17" s="3" t="s">
        <v>5589</v>
      </c>
      <c r="C17" s="4">
        <v>1</v>
      </c>
      <c r="D17" s="5">
        <v>89.5</v>
      </c>
      <c r="E17" s="4">
        <v>710680863017</v>
      </c>
      <c r="F17" s="3" t="s">
        <v>5532</v>
      </c>
      <c r="G17" s="7" t="s">
        <v>5596</v>
      </c>
      <c r="H17" s="3" t="s">
        <v>5534</v>
      </c>
      <c r="I17" s="3" t="s">
        <v>5535</v>
      </c>
      <c r="J17" s="3" t="s">
        <v>5536</v>
      </c>
      <c r="K17" s="3" t="s">
        <v>5590</v>
      </c>
      <c r="L17" s="8" t="str">
        <f>HYPERLINK("http://slimages.macys.com/is/image/MCY/15666656 ")</f>
        <v xml:space="preserve">http://slimages.macys.com/is/image/MCY/15666656 </v>
      </c>
    </row>
    <row r="18" spans="1:12" ht="60.75" x14ac:dyDescent="0.25">
      <c r="A18" s="6" t="s">
        <v>5597</v>
      </c>
      <c r="B18" s="3" t="s">
        <v>5589</v>
      </c>
      <c r="C18" s="4">
        <v>1</v>
      </c>
      <c r="D18" s="5">
        <v>89.5</v>
      </c>
      <c r="E18" s="4">
        <v>710680863017</v>
      </c>
      <c r="F18" s="3" t="s">
        <v>5532</v>
      </c>
      <c r="G18" s="7" t="s">
        <v>5598</v>
      </c>
      <c r="H18" s="3" t="s">
        <v>5534</v>
      </c>
      <c r="I18" s="3" t="s">
        <v>5535</v>
      </c>
      <c r="J18" s="3" t="s">
        <v>5536</v>
      </c>
      <c r="K18" s="3" t="s">
        <v>5590</v>
      </c>
      <c r="L18" s="8" t="str">
        <f>HYPERLINK("http://slimages.macys.com/is/image/MCY/15666656 ")</f>
        <v xml:space="preserve">http://slimages.macys.com/is/image/MCY/15666656 </v>
      </c>
    </row>
    <row r="19" spans="1:12" ht="24.75" x14ac:dyDescent="0.25">
      <c r="A19" s="6" t="s">
        <v>5599</v>
      </c>
      <c r="B19" s="3" t="s">
        <v>5600</v>
      </c>
      <c r="C19" s="4">
        <v>1</v>
      </c>
      <c r="D19" s="5">
        <v>79</v>
      </c>
      <c r="E19" s="4" t="s">
        <v>5601</v>
      </c>
      <c r="F19" s="3" t="s">
        <v>5546</v>
      </c>
      <c r="G19" s="7" t="s">
        <v>5562</v>
      </c>
      <c r="H19" s="3" t="s">
        <v>5547</v>
      </c>
      <c r="I19" s="3" t="s">
        <v>5548</v>
      </c>
      <c r="J19" s="3" t="s">
        <v>5536</v>
      </c>
      <c r="K19" s="3" t="s">
        <v>5549</v>
      </c>
      <c r="L19" s="8" t="str">
        <f>HYPERLINK("http://slimages.macys.com/is/image/MCY/15440656 ")</f>
        <v xml:space="preserve">http://slimages.macys.com/is/image/MCY/15440656 </v>
      </c>
    </row>
    <row r="20" spans="1:12" x14ac:dyDescent="0.25">
      <c r="A20" s="6" t="s">
        <v>5602</v>
      </c>
      <c r="B20" s="3" t="s">
        <v>5603</v>
      </c>
      <c r="C20" s="4">
        <v>1</v>
      </c>
      <c r="D20" s="5">
        <v>53.5</v>
      </c>
      <c r="E20" s="4">
        <v>5140742</v>
      </c>
      <c r="F20" s="3" t="s">
        <v>5604</v>
      </c>
      <c r="G20" s="7" t="s">
        <v>5605</v>
      </c>
      <c r="H20" s="3" t="s">
        <v>5606</v>
      </c>
      <c r="I20" s="3" t="s">
        <v>5607</v>
      </c>
      <c r="J20" s="3" t="s">
        <v>5536</v>
      </c>
      <c r="K20" s="3" t="s">
        <v>5558</v>
      </c>
      <c r="L20" s="8" t="str">
        <f>HYPERLINK("http://slimages.macys.com/is/image/MCY/10133146 ")</f>
        <v xml:space="preserve">http://slimages.macys.com/is/image/MCY/10133146 </v>
      </c>
    </row>
    <row r="21" spans="1:12" x14ac:dyDescent="0.25">
      <c r="A21" s="6" t="s">
        <v>5608</v>
      </c>
      <c r="B21" s="3" t="s">
        <v>5609</v>
      </c>
      <c r="C21" s="4">
        <v>1</v>
      </c>
      <c r="D21" s="5">
        <v>149.5</v>
      </c>
      <c r="E21" s="4">
        <v>100075979</v>
      </c>
      <c r="F21" s="3" t="s">
        <v>5610</v>
      </c>
      <c r="G21" s="7" t="s">
        <v>5596</v>
      </c>
      <c r="H21" s="3" t="s">
        <v>5585</v>
      </c>
      <c r="I21" s="3" t="s">
        <v>5586</v>
      </c>
      <c r="J21" s="3" t="s">
        <v>5536</v>
      </c>
      <c r="K21" s="3" t="s">
        <v>5587</v>
      </c>
      <c r="L21" s="8" t="str">
        <f>HYPERLINK("http://slimages.macys.com/is/image/MCY/15327548 ")</f>
        <v xml:space="preserve">http://slimages.macys.com/is/image/MCY/15327548 </v>
      </c>
    </row>
    <row r="22" spans="1:12" x14ac:dyDescent="0.25">
      <c r="A22" s="6" t="s">
        <v>5611</v>
      </c>
      <c r="B22" s="3" t="s">
        <v>5612</v>
      </c>
      <c r="C22" s="4">
        <v>1</v>
      </c>
      <c r="D22" s="5">
        <v>149.5</v>
      </c>
      <c r="E22" s="4">
        <v>100075982</v>
      </c>
      <c r="F22" s="3" t="s">
        <v>5540</v>
      </c>
      <c r="G22" s="7" t="s">
        <v>5533</v>
      </c>
      <c r="H22" s="3" t="s">
        <v>5585</v>
      </c>
      <c r="I22" s="3" t="s">
        <v>5586</v>
      </c>
      <c r="J22" s="3" t="s">
        <v>5536</v>
      </c>
      <c r="K22" s="3" t="s">
        <v>5587</v>
      </c>
      <c r="L22" s="8" t="str">
        <f>HYPERLINK("http://slimages.macys.com/is/image/MCY/15328360 ")</f>
        <v xml:space="preserve">http://slimages.macys.com/is/image/MCY/15328360 </v>
      </c>
    </row>
    <row r="23" spans="1:12" ht="24.75" x14ac:dyDescent="0.25">
      <c r="A23" s="6" t="s">
        <v>5613</v>
      </c>
      <c r="B23" s="3" t="s">
        <v>5614</v>
      </c>
      <c r="C23" s="4">
        <v>1</v>
      </c>
      <c r="D23" s="5">
        <v>69.989999999999995</v>
      </c>
      <c r="E23" s="4" t="s">
        <v>5615</v>
      </c>
      <c r="F23" s="3" t="s">
        <v>5616</v>
      </c>
      <c r="G23" s="7" t="s">
        <v>5596</v>
      </c>
      <c r="H23" s="3" t="s">
        <v>5617</v>
      </c>
      <c r="I23" s="3" t="s">
        <v>5618</v>
      </c>
      <c r="J23" s="3" t="s">
        <v>5536</v>
      </c>
      <c r="K23" s="3" t="s">
        <v>5619</v>
      </c>
      <c r="L23" s="8" t="str">
        <f>HYPERLINK("http://slimages.macys.com/is/image/MCY/14409199 ")</f>
        <v xml:space="preserve">http://slimages.macys.com/is/image/MCY/14409199 </v>
      </c>
    </row>
    <row r="24" spans="1:12" x14ac:dyDescent="0.25">
      <c r="A24" s="6" t="s">
        <v>5620</v>
      </c>
      <c r="B24" s="3" t="s">
        <v>5621</v>
      </c>
      <c r="C24" s="4">
        <v>1</v>
      </c>
      <c r="D24" s="5">
        <v>53.5</v>
      </c>
      <c r="E24" s="4">
        <v>181810135</v>
      </c>
      <c r="F24" s="3" t="s">
        <v>5604</v>
      </c>
      <c r="G24" s="7" t="s">
        <v>5622</v>
      </c>
      <c r="H24" s="3" t="s">
        <v>5606</v>
      </c>
      <c r="I24" s="3" t="s">
        <v>5607</v>
      </c>
      <c r="J24" s="3" t="s">
        <v>5536</v>
      </c>
      <c r="K24" s="3" t="s">
        <v>5558</v>
      </c>
      <c r="L24" s="8" t="str">
        <f>HYPERLINK("http://slimages.macys.com/is/image/MCY/3624707 ")</f>
        <v xml:space="preserve">http://slimages.macys.com/is/image/MCY/3624707 </v>
      </c>
    </row>
    <row r="25" spans="1:12" x14ac:dyDescent="0.25">
      <c r="A25" s="6" t="s">
        <v>5623</v>
      </c>
      <c r="B25" s="3" t="s">
        <v>5624</v>
      </c>
      <c r="C25" s="4">
        <v>1</v>
      </c>
      <c r="D25" s="5">
        <v>53.5</v>
      </c>
      <c r="E25" s="4">
        <v>295070700</v>
      </c>
      <c r="F25" s="3" t="s">
        <v>5625</v>
      </c>
      <c r="G25" s="7" t="s">
        <v>5626</v>
      </c>
      <c r="H25" s="3" t="s">
        <v>5606</v>
      </c>
      <c r="I25" s="3" t="s">
        <v>5607</v>
      </c>
      <c r="J25" s="3" t="s">
        <v>5536</v>
      </c>
      <c r="K25" s="3" t="s">
        <v>5558</v>
      </c>
      <c r="L25" s="8" t="str">
        <f>HYPERLINK("http://slimages.macys.com/is/image/MCY/15555583 ")</f>
        <v xml:space="preserve">http://slimages.macys.com/is/image/MCY/15555583 </v>
      </c>
    </row>
    <row r="26" spans="1:12" x14ac:dyDescent="0.25">
      <c r="A26" s="6" t="s">
        <v>5627</v>
      </c>
      <c r="B26" s="3" t="s">
        <v>5628</v>
      </c>
      <c r="C26" s="4">
        <v>1</v>
      </c>
      <c r="D26" s="5">
        <v>53.5</v>
      </c>
      <c r="E26" s="4">
        <v>295070438</v>
      </c>
      <c r="F26" s="3" t="s">
        <v>5540</v>
      </c>
      <c r="G26" s="7" t="s">
        <v>5629</v>
      </c>
      <c r="H26" s="3" t="s">
        <v>5606</v>
      </c>
      <c r="I26" s="3" t="s">
        <v>5607</v>
      </c>
      <c r="J26" s="3" t="s">
        <v>5536</v>
      </c>
      <c r="K26" s="3" t="s">
        <v>5558</v>
      </c>
      <c r="L26" s="8" t="str">
        <f>HYPERLINK("http://slimages.macys.com/is/image/MCY/15555583 ")</f>
        <v xml:space="preserve">http://slimages.macys.com/is/image/MCY/15555583 </v>
      </c>
    </row>
    <row r="27" spans="1:12" x14ac:dyDescent="0.25">
      <c r="A27" s="6" t="s">
        <v>5630</v>
      </c>
      <c r="B27" s="3" t="s">
        <v>5628</v>
      </c>
      <c r="C27" s="4">
        <v>1</v>
      </c>
      <c r="D27" s="5">
        <v>53.5</v>
      </c>
      <c r="E27" s="4">
        <v>295070438</v>
      </c>
      <c r="F27" s="3" t="s">
        <v>5540</v>
      </c>
      <c r="G27" s="7" t="s">
        <v>5631</v>
      </c>
      <c r="H27" s="3" t="s">
        <v>5606</v>
      </c>
      <c r="I27" s="3" t="s">
        <v>5607</v>
      </c>
      <c r="J27" s="3" t="s">
        <v>5536</v>
      </c>
      <c r="K27" s="3" t="s">
        <v>5558</v>
      </c>
      <c r="L27" s="8" t="str">
        <f>HYPERLINK("http://slimages.macys.com/is/image/MCY/15555583 ")</f>
        <v xml:space="preserve">http://slimages.macys.com/is/image/MCY/15555583 </v>
      </c>
    </row>
    <row r="28" spans="1:12" ht="24.75" x14ac:dyDescent="0.25">
      <c r="A28" s="6" t="s">
        <v>5632</v>
      </c>
      <c r="B28" s="3" t="s">
        <v>5633</v>
      </c>
      <c r="C28" s="4">
        <v>1</v>
      </c>
      <c r="D28" s="5">
        <v>53.5</v>
      </c>
      <c r="E28" s="4">
        <v>131510085</v>
      </c>
      <c r="F28" s="3" t="s">
        <v>5634</v>
      </c>
      <c r="G28" s="7" t="s">
        <v>5635</v>
      </c>
      <c r="H28" s="3" t="s">
        <v>5606</v>
      </c>
      <c r="I28" s="3" t="s">
        <v>5607</v>
      </c>
      <c r="J28" s="3" t="s">
        <v>5536</v>
      </c>
      <c r="K28" s="3" t="s">
        <v>5558</v>
      </c>
      <c r="L28" s="8" t="str">
        <f>HYPERLINK("http://slimages.macys.com/is/image/MCY/2977507 ")</f>
        <v xml:space="preserve">http://slimages.macys.com/is/image/MCY/2977507 </v>
      </c>
    </row>
    <row r="29" spans="1:12" ht="24.75" x14ac:dyDescent="0.25">
      <c r="A29" s="6" t="s">
        <v>5636</v>
      </c>
      <c r="B29" s="3" t="s">
        <v>5633</v>
      </c>
      <c r="C29" s="4">
        <v>1</v>
      </c>
      <c r="D29" s="5">
        <v>53.5</v>
      </c>
      <c r="E29" s="4">
        <v>131510085</v>
      </c>
      <c r="F29" s="3" t="s">
        <v>5634</v>
      </c>
      <c r="G29" s="7" t="s">
        <v>5637</v>
      </c>
      <c r="H29" s="3" t="s">
        <v>5606</v>
      </c>
      <c r="I29" s="3" t="s">
        <v>5607</v>
      </c>
      <c r="J29" s="3" t="s">
        <v>5536</v>
      </c>
      <c r="K29" s="3" t="s">
        <v>5558</v>
      </c>
      <c r="L29" s="8" t="str">
        <f>HYPERLINK("http://slimages.macys.com/is/image/MCY/2977507 ")</f>
        <v xml:space="preserve">http://slimages.macys.com/is/image/MCY/2977507 </v>
      </c>
    </row>
    <row r="30" spans="1:12" ht="24.75" x14ac:dyDescent="0.25">
      <c r="A30" s="6" t="s">
        <v>5638</v>
      </c>
      <c r="B30" s="3" t="s">
        <v>5639</v>
      </c>
      <c r="C30" s="4">
        <v>1</v>
      </c>
      <c r="D30" s="5">
        <v>53.5</v>
      </c>
      <c r="E30" s="4">
        <v>45114088</v>
      </c>
      <c r="F30" s="3" t="s">
        <v>5640</v>
      </c>
      <c r="G30" s="7"/>
      <c r="H30" s="3" t="s">
        <v>5606</v>
      </c>
      <c r="I30" s="3" t="s">
        <v>5607</v>
      </c>
      <c r="J30" s="3" t="s">
        <v>5536</v>
      </c>
      <c r="K30" s="3" t="s">
        <v>5641</v>
      </c>
      <c r="L30" s="8" t="str">
        <f>HYPERLINK("http://slimages.macys.com/is/image/MCY/14606494 ")</f>
        <v xml:space="preserve">http://slimages.macys.com/is/image/MCY/14606494 </v>
      </c>
    </row>
    <row r="31" spans="1:12" x14ac:dyDescent="0.25">
      <c r="A31" s="6" t="s">
        <v>5642</v>
      </c>
      <c r="B31" s="3" t="s">
        <v>5643</v>
      </c>
      <c r="C31" s="4">
        <v>1</v>
      </c>
      <c r="D31" s="5">
        <v>53.5</v>
      </c>
      <c r="E31" s="4">
        <v>295070547</v>
      </c>
      <c r="F31" s="3" t="s">
        <v>5640</v>
      </c>
      <c r="G31" s="7" t="s">
        <v>5557</v>
      </c>
      <c r="H31" s="3" t="s">
        <v>5606</v>
      </c>
      <c r="I31" s="3" t="s">
        <v>5607</v>
      </c>
      <c r="J31" s="3" t="s">
        <v>5536</v>
      </c>
      <c r="K31" s="3" t="s">
        <v>5558</v>
      </c>
      <c r="L31" s="8" t="str">
        <f>HYPERLINK("http://slimages.macys.com/is/image/MCY/15555583 ")</f>
        <v xml:space="preserve">http://slimages.macys.com/is/image/MCY/15555583 </v>
      </c>
    </row>
    <row r="32" spans="1:12" x14ac:dyDescent="0.25">
      <c r="A32" s="6" t="s">
        <v>5644</v>
      </c>
      <c r="B32" s="3" t="s">
        <v>5628</v>
      </c>
      <c r="C32" s="4">
        <v>1</v>
      </c>
      <c r="D32" s="5">
        <v>53.5</v>
      </c>
      <c r="E32" s="4">
        <v>295070438</v>
      </c>
      <c r="F32" s="3" t="s">
        <v>5540</v>
      </c>
      <c r="G32" s="7" t="s">
        <v>5567</v>
      </c>
      <c r="H32" s="3" t="s">
        <v>5606</v>
      </c>
      <c r="I32" s="3" t="s">
        <v>5607</v>
      </c>
      <c r="J32" s="3" t="s">
        <v>5536</v>
      </c>
      <c r="K32" s="3" t="s">
        <v>5558</v>
      </c>
      <c r="L32" s="8" t="str">
        <f>HYPERLINK("http://slimages.macys.com/is/image/MCY/15555583 ")</f>
        <v xml:space="preserve">http://slimages.macys.com/is/image/MCY/15555583 </v>
      </c>
    </row>
    <row r="33" spans="1:12" x14ac:dyDescent="0.25">
      <c r="A33" s="6" t="s">
        <v>5645</v>
      </c>
      <c r="B33" s="3" t="s">
        <v>5624</v>
      </c>
      <c r="C33" s="4">
        <v>1</v>
      </c>
      <c r="D33" s="5">
        <v>53.5</v>
      </c>
      <c r="E33" s="4">
        <v>295070700</v>
      </c>
      <c r="F33" s="3" t="s">
        <v>5625</v>
      </c>
      <c r="G33" s="7" t="s">
        <v>5629</v>
      </c>
      <c r="H33" s="3" t="s">
        <v>5606</v>
      </c>
      <c r="I33" s="3" t="s">
        <v>5607</v>
      </c>
      <c r="J33" s="3" t="s">
        <v>5536</v>
      </c>
      <c r="K33" s="3" t="s">
        <v>5558</v>
      </c>
      <c r="L33" s="8" t="str">
        <f>HYPERLINK("http://slimages.macys.com/is/image/MCY/15555583 ")</f>
        <v xml:space="preserve">http://slimages.macys.com/is/image/MCY/15555583 </v>
      </c>
    </row>
    <row r="34" spans="1:12" ht="24.75" x14ac:dyDescent="0.25">
      <c r="A34" s="6" t="s">
        <v>5646</v>
      </c>
      <c r="B34" s="3" t="s">
        <v>5647</v>
      </c>
      <c r="C34" s="4">
        <v>1</v>
      </c>
      <c r="D34" s="5">
        <v>53.5</v>
      </c>
      <c r="E34" s="4">
        <v>45113016</v>
      </c>
      <c r="F34" s="3" t="s">
        <v>5540</v>
      </c>
      <c r="G34" s="7" t="s">
        <v>5648</v>
      </c>
      <c r="H34" s="3" t="s">
        <v>5606</v>
      </c>
      <c r="I34" s="3" t="s">
        <v>5607</v>
      </c>
      <c r="J34" s="3" t="s">
        <v>5536</v>
      </c>
      <c r="K34" s="3" t="s">
        <v>5641</v>
      </c>
      <c r="L34" s="8" t="str">
        <f>HYPERLINK("http://slimages.macys.com/is/image/MCY/14606494 ")</f>
        <v xml:space="preserve">http://slimages.macys.com/is/image/MCY/14606494 </v>
      </c>
    </row>
    <row r="35" spans="1:12" x14ac:dyDescent="0.25">
      <c r="A35" s="6" t="s">
        <v>5649</v>
      </c>
      <c r="B35" s="3" t="s">
        <v>5643</v>
      </c>
      <c r="C35" s="4">
        <v>1</v>
      </c>
      <c r="D35" s="5">
        <v>53.5</v>
      </c>
      <c r="E35" s="4">
        <v>295070547</v>
      </c>
      <c r="F35" s="3" t="s">
        <v>5640</v>
      </c>
      <c r="G35" s="7" t="s">
        <v>5650</v>
      </c>
      <c r="H35" s="3" t="s">
        <v>5606</v>
      </c>
      <c r="I35" s="3" t="s">
        <v>5607</v>
      </c>
      <c r="J35" s="3" t="s">
        <v>5536</v>
      </c>
      <c r="K35" s="3" t="s">
        <v>5558</v>
      </c>
      <c r="L35" s="8" t="str">
        <f>HYPERLINK("http://slimages.macys.com/is/image/MCY/15555583 ")</f>
        <v xml:space="preserve">http://slimages.macys.com/is/image/MCY/15555583 </v>
      </c>
    </row>
    <row r="36" spans="1:12" ht="24.75" x14ac:dyDescent="0.25">
      <c r="A36" s="6" t="s">
        <v>5651</v>
      </c>
      <c r="B36" s="3" t="s">
        <v>5633</v>
      </c>
      <c r="C36" s="4">
        <v>1</v>
      </c>
      <c r="D36" s="5">
        <v>53.5</v>
      </c>
      <c r="E36" s="4">
        <v>131510085</v>
      </c>
      <c r="F36" s="3" t="s">
        <v>5634</v>
      </c>
      <c r="G36" s="7" t="s">
        <v>5579</v>
      </c>
      <c r="H36" s="3" t="s">
        <v>5606</v>
      </c>
      <c r="I36" s="3" t="s">
        <v>5607</v>
      </c>
      <c r="J36" s="3" t="s">
        <v>5536</v>
      </c>
      <c r="K36" s="3" t="s">
        <v>5558</v>
      </c>
      <c r="L36" s="8" t="str">
        <f>HYPERLINK("http://slimages.macys.com/is/image/MCY/2977507 ")</f>
        <v xml:space="preserve">http://slimages.macys.com/is/image/MCY/2977507 </v>
      </c>
    </row>
    <row r="37" spans="1:12" x14ac:dyDescent="0.25">
      <c r="A37" s="6" t="s">
        <v>5652</v>
      </c>
      <c r="B37" s="3" t="s">
        <v>5653</v>
      </c>
      <c r="C37" s="4">
        <v>1</v>
      </c>
      <c r="D37" s="5">
        <v>53.5</v>
      </c>
      <c r="E37" s="4">
        <v>295070702</v>
      </c>
      <c r="F37" s="3" t="s">
        <v>5578</v>
      </c>
      <c r="G37" s="7" t="s">
        <v>5579</v>
      </c>
      <c r="H37" s="3" t="s">
        <v>5606</v>
      </c>
      <c r="I37" s="3" t="s">
        <v>5607</v>
      </c>
      <c r="J37" s="3" t="s">
        <v>5536</v>
      </c>
      <c r="K37" s="3" t="s">
        <v>5558</v>
      </c>
      <c r="L37" s="8" t="str">
        <f>HYPERLINK("http://slimages.macys.com/is/image/MCY/10568493 ")</f>
        <v xml:space="preserve">http://slimages.macys.com/is/image/MCY/10568493 </v>
      </c>
    </row>
    <row r="38" spans="1:12" x14ac:dyDescent="0.25">
      <c r="A38" s="6" t="s">
        <v>5654</v>
      </c>
      <c r="B38" s="3" t="s">
        <v>5653</v>
      </c>
      <c r="C38" s="4">
        <v>1</v>
      </c>
      <c r="D38" s="5">
        <v>53.5</v>
      </c>
      <c r="E38" s="4">
        <v>295070702</v>
      </c>
      <c r="F38" s="3" t="s">
        <v>5578</v>
      </c>
      <c r="G38" s="7" t="s">
        <v>5557</v>
      </c>
      <c r="H38" s="3" t="s">
        <v>5606</v>
      </c>
      <c r="I38" s="3" t="s">
        <v>5607</v>
      </c>
      <c r="J38" s="3" t="s">
        <v>5536</v>
      </c>
      <c r="K38" s="3" t="s">
        <v>5558</v>
      </c>
      <c r="L38" s="8" t="str">
        <f>HYPERLINK("http://slimages.macys.com/is/image/MCY/10568493 ")</f>
        <v xml:space="preserve">http://slimages.macys.com/is/image/MCY/10568493 </v>
      </c>
    </row>
    <row r="39" spans="1:12" x14ac:dyDescent="0.25">
      <c r="A39" s="6" t="s">
        <v>5655</v>
      </c>
      <c r="B39" s="3" t="s">
        <v>5653</v>
      </c>
      <c r="C39" s="4">
        <v>1</v>
      </c>
      <c r="D39" s="5">
        <v>53.5</v>
      </c>
      <c r="E39" s="4">
        <v>295070702</v>
      </c>
      <c r="F39" s="3" t="s">
        <v>5578</v>
      </c>
      <c r="G39" s="7" t="s">
        <v>5656</v>
      </c>
      <c r="H39" s="3" t="s">
        <v>5606</v>
      </c>
      <c r="I39" s="3" t="s">
        <v>5607</v>
      </c>
      <c r="J39" s="3" t="s">
        <v>5536</v>
      </c>
      <c r="K39" s="3" t="s">
        <v>5558</v>
      </c>
      <c r="L39" s="8" t="str">
        <f>HYPERLINK("http://slimages.macys.com/is/image/MCY/10568493 ")</f>
        <v xml:space="preserve">http://slimages.macys.com/is/image/MCY/10568493 </v>
      </c>
    </row>
    <row r="40" spans="1:12" ht="24.75" x14ac:dyDescent="0.25">
      <c r="A40" s="6" t="s">
        <v>5657</v>
      </c>
      <c r="B40" s="3" t="s">
        <v>5647</v>
      </c>
      <c r="C40" s="4">
        <v>1</v>
      </c>
      <c r="D40" s="5">
        <v>53.5</v>
      </c>
      <c r="E40" s="4">
        <v>45113016</v>
      </c>
      <c r="F40" s="3" t="s">
        <v>5540</v>
      </c>
      <c r="G40" s="7" t="s">
        <v>5658</v>
      </c>
      <c r="H40" s="3" t="s">
        <v>5606</v>
      </c>
      <c r="I40" s="3" t="s">
        <v>5607</v>
      </c>
      <c r="J40" s="3" t="s">
        <v>5536</v>
      </c>
      <c r="K40" s="3" t="s">
        <v>5641</v>
      </c>
      <c r="L40" s="8" t="str">
        <f>HYPERLINK("http://slimages.macys.com/is/image/MCY/14606494 ")</f>
        <v xml:space="preserve">http://slimages.macys.com/is/image/MCY/14606494 </v>
      </c>
    </row>
    <row r="41" spans="1:12" ht="24.75" x14ac:dyDescent="0.25">
      <c r="A41" s="6" t="s">
        <v>5659</v>
      </c>
      <c r="B41" s="3" t="s">
        <v>5660</v>
      </c>
      <c r="C41" s="4">
        <v>1</v>
      </c>
      <c r="D41" s="5">
        <v>53.5</v>
      </c>
      <c r="E41" s="4">
        <v>45114090</v>
      </c>
      <c r="F41" s="3" t="s">
        <v>5661</v>
      </c>
      <c r="G41" s="7" t="s">
        <v>5662</v>
      </c>
      <c r="H41" s="3" t="s">
        <v>5606</v>
      </c>
      <c r="I41" s="3" t="s">
        <v>5607</v>
      </c>
      <c r="J41" s="3" t="s">
        <v>5536</v>
      </c>
      <c r="K41" s="3" t="s">
        <v>5641</v>
      </c>
      <c r="L41" s="8" t="str">
        <f>HYPERLINK("http://slimages.macys.com/is/image/MCY/14606494 ")</f>
        <v xml:space="preserve">http://slimages.macys.com/is/image/MCY/14606494 </v>
      </c>
    </row>
    <row r="42" spans="1:12" ht="24.75" x14ac:dyDescent="0.25">
      <c r="A42" s="6" t="s">
        <v>5663</v>
      </c>
      <c r="B42" s="3" t="s">
        <v>5664</v>
      </c>
      <c r="C42" s="4">
        <v>1</v>
      </c>
      <c r="D42" s="5">
        <v>53.5</v>
      </c>
      <c r="E42" s="4">
        <v>45113795</v>
      </c>
      <c r="F42" s="3" t="s">
        <v>5661</v>
      </c>
      <c r="G42" s="7" t="s">
        <v>5605</v>
      </c>
      <c r="H42" s="3" t="s">
        <v>5606</v>
      </c>
      <c r="I42" s="3" t="s">
        <v>5607</v>
      </c>
      <c r="J42" s="3" t="s">
        <v>5536</v>
      </c>
      <c r="K42" s="3" t="s">
        <v>5641</v>
      </c>
      <c r="L42" s="8" t="str">
        <f>HYPERLINK("http://slimages.macys.com/is/image/MCY/15106523 ")</f>
        <v xml:space="preserve">http://slimages.macys.com/is/image/MCY/15106523 </v>
      </c>
    </row>
    <row r="43" spans="1:12" x14ac:dyDescent="0.25">
      <c r="A43" s="6" t="s">
        <v>5665</v>
      </c>
      <c r="B43" s="3" t="s">
        <v>5653</v>
      </c>
      <c r="C43" s="4">
        <v>2</v>
      </c>
      <c r="D43" s="5">
        <v>107</v>
      </c>
      <c r="E43" s="4">
        <v>295070702</v>
      </c>
      <c r="F43" s="3" t="s">
        <v>5578</v>
      </c>
      <c r="G43" s="7" t="s">
        <v>5567</v>
      </c>
      <c r="H43" s="3" t="s">
        <v>5606</v>
      </c>
      <c r="I43" s="3" t="s">
        <v>5607</v>
      </c>
      <c r="J43" s="3" t="s">
        <v>5536</v>
      </c>
      <c r="K43" s="3" t="s">
        <v>5558</v>
      </c>
      <c r="L43" s="8" t="str">
        <f>HYPERLINK("http://slimages.macys.com/is/image/MCY/10568493 ")</f>
        <v xml:space="preserve">http://slimages.macys.com/is/image/MCY/10568493 </v>
      </c>
    </row>
    <row r="44" spans="1:12" ht="24.75" x14ac:dyDescent="0.25">
      <c r="A44" s="6" t="s">
        <v>5666</v>
      </c>
      <c r="B44" s="3" t="s">
        <v>5660</v>
      </c>
      <c r="C44" s="4">
        <v>2</v>
      </c>
      <c r="D44" s="5">
        <v>107</v>
      </c>
      <c r="E44" s="4">
        <v>45114090</v>
      </c>
      <c r="F44" s="3" t="s">
        <v>5661</v>
      </c>
      <c r="G44" s="7" t="s">
        <v>5567</v>
      </c>
      <c r="H44" s="3" t="s">
        <v>5606</v>
      </c>
      <c r="I44" s="3" t="s">
        <v>5607</v>
      </c>
      <c r="J44" s="3" t="s">
        <v>5536</v>
      </c>
      <c r="K44" s="3" t="s">
        <v>5641</v>
      </c>
      <c r="L44" s="8" t="str">
        <f>HYPERLINK("http://slimages.macys.com/is/image/MCY/14606494 ")</f>
        <v xml:space="preserve">http://slimages.macys.com/is/image/MCY/14606494 </v>
      </c>
    </row>
    <row r="45" spans="1:12" ht="24.75" x14ac:dyDescent="0.25">
      <c r="A45" s="6" t="s">
        <v>5667</v>
      </c>
      <c r="B45" s="3" t="s">
        <v>5633</v>
      </c>
      <c r="C45" s="4">
        <v>1</v>
      </c>
      <c r="D45" s="5">
        <v>53.5</v>
      </c>
      <c r="E45" s="4">
        <v>131510085</v>
      </c>
      <c r="F45" s="3" t="s">
        <v>5634</v>
      </c>
      <c r="G45" s="7" t="s">
        <v>5650</v>
      </c>
      <c r="H45" s="3" t="s">
        <v>5606</v>
      </c>
      <c r="I45" s="3" t="s">
        <v>5607</v>
      </c>
      <c r="J45" s="3" t="s">
        <v>5536</v>
      </c>
      <c r="K45" s="3" t="s">
        <v>5558</v>
      </c>
      <c r="L45" s="8" t="str">
        <f>HYPERLINK("http://slimages.macys.com/is/image/MCY/2977507 ")</f>
        <v xml:space="preserve">http://slimages.macys.com/is/image/MCY/2977507 </v>
      </c>
    </row>
    <row r="46" spans="1:12" x14ac:dyDescent="0.25">
      <c r="A46" s="6" t="s">
        <v>5668</v>
      </c>
      <c r="B46" s="3" t="s">
        <v>5653</v>
      </c>
      <c r="C46" s="4">
        <v>2</v>
      </c>
      <c r="D46" s="5">
        <v>107</v>
      </c>
      <c r="E46" s="4">
        <v>295070702</v>
      </c>
      <c r="F46" s="3" t="s">
        <v>5578</v>
      </c>
      <c r="G46" s="7" t="s">
        <v>5662</v>
      </c>
      <c r="H46" s="3" t="s">
        <v>5606</v>
      </c>
      <c r="I46" s="3" t="s">
        <v>5607</v>
      </c>
      <c r="J46" s="3" t="s">
        <v>5536</v>
      </c>
      <c r="K46" s="3" t="s">
        <v>5558</v>
      </c>
      <c r="L46" s="8" t="str">
        <f>HYPERLINK("http://slimages.macys.com/is/image/MCY/10568493 ")</f>
        <v xml:space="preserve">http://slimages.macys.com/is/image/MCY/10568493 </v>
      </c>
    </row>
    <row r="47" spans="1:12" x14ac:dyDescent="0.25">
      <c r="A47" s="6" t="s">
        <v>5669</v>
      </c>
      <c r="B47" s="3" t="s">
        <v>5643</v>
      </c>
      <c r="C47" s="4">
        <v>1</v>
      </c>
      <c r="D47" s="5">
        <v>53.5</v>
      </c>
      <c r="E47" s="4">
        <v>295070547</v>
      </c>
      <c r="F47" s="3" t="s">
        <v>5640</v>
      </c>
      <c r="G47" s="7" t="s">
        <v>5662</v>
      </c>
      <c r="H47" s="3" t="s">
        <v>5606</v>
      </c>
      <c r="I47" s="3" t="s">
        <v>5607</v>
      </c>
      <c r="J47" s="3" t="s">
        <v>5536</v>
      </c>
      <c r="K47" s="3" t="s">
        <v>5558</v>
      </c>
      <c r="L47" s="8" t="str">
        <f>HYPERLINK("http://slimages.macys.com/is/image/MCY/15555583 ")</f>
        <v xml:space="preserve">http://slimages.macys.com/is/image/MCY/15555583 </v>
      </c>
    </row>
    <row r="48" spans="1:12" ht="24.75" x14ac:dyDescent="0.25">
      <c r="A48" s="6" t="s">
        <v>5670</v>
      </c>
      <c r="B48" s="3" t="s">
        <v>5671</v>
      </c>
      <c r="C48" s="4">
        <v>1</v>
      </c>
      <c r="D48" s="5">
        <v>53.5</v>
      </c>
      <c r="E48" s="4">
        <v>45113110</v>
      </c>
      <c r="F48" s="3" t="s">
        <v>5578</v>
      </c>
      <c r="G48" s="7" t="s">
        <v>5672</v>
      </c>
      <c r="H48" s="3" t="s">
        <v>5606</v>
      </c>
      <c r="I48" s="3" t="s">
        <v>5607</v>
      </c>
      <c r="J48" s="3" t="s">
        <v>5536</v>
      </c>
      <c r="K48" s="3" t="s">
        <v>5641</v>
      </c>
      <c r="L48" s="8" t="str">
        <f>HYPERLINK("http://slimages.macys.com/is/image/MCY/14606494 ")</f>
        <v xml:space="preserve">http://slimages.macys.com/is/image/MCY/14606494 </v>
      </c>
    </row>
    <row r="49" spans="1:12" ht="24.75" x14ac:dyDescent="0.25">
      <c r="A49" s="6" t="s">
        <v>5673</v>
      </c>
      <c r="B49" s="3" t="s">
        <v>5633</v>
      </c>
      <c r="C49" s="4">
        <v>1</v>
      </c>
      <c r="D49" s="5">
        <v>53.5</v>
      </c>
      <c r="E49" s="4">
        <v>131510085</v>
      </c>
      <c r="F49" s="3" t="s">
        <v>5634</v>
      </c>
      <c r="G49" s="7" t="s">
        <v>5672</v>
      </c>
      <c r="H49" s="3" t="s">
        <v>5606</v>
      </c>
      <c r="I49" s="3" t="s">
        <v>5607</v>
      </c>
      <c r="J49" s="3" t="s">
        <v>5536</v>
      </c>
      <c r="K49" s="3" t="s">
        <v>5558</v>
      </c>
      <c r="L49" s="8" t="str">
        <f>HYPERLINK("http://slimages.macys.com/is/image/MCY/2977507 ")</f>
        <v xml:space="preserve">http://slimages.macys.com/is/image/MCY/2977507 </v>
      </c>
    </row>
    <row r="50" spans="1:12" x14ac:dyDescent="0.25">
      <c r="A50" s="6" t="s">
        <v>5674</v>
      </c>
      <c r="B50" s="3" t="s">
        <v>5675</v>
      </c>
      <c r="C50" s="4">
        <v>1</v>
      </c>
      <c r="D50" s="5">
        <v>53.5</v>
      </c>
      <c r="E50" s="4">
        <v>288330466</v>
      </c>
      <c r="F50" s="3" t="s">
        <v>5604</v>
      </c>
      <c r="G50" s="7" t="s">
        <v>5648</v>
      </c>
      <c r="H50" s="3" t="s">
        <v>5606</v>
      </c>
      <c r="I50" s="3" t="s">
        <v>5607</v>
      </c>
      <c r="J50" s="3" t="s">
        <v>5536</v>
      </c>
      <c r="K50" s="3" t="s">
        <v>5558</v>
      </c>
      <c r="L50" s="8" t="str">
        <f>HYPERLINK("http://slimages.macys.com/is/image/MCY/13303764 ")</f>
        <v xml:space="preserve">http://slimages.macys.com/is/image/MCY/13303764 </v>
      </c>
    </row>
    <row r="51" spans="1:12" x14ac:dyDescent="0.25">
      <c r="A51" s="6" t="s">
        <v>5676</v>
      </c>
      <c r="B51" s="3" t="s">
        <v>5628</v>
      </c>
      <c r="C51" s="4">
        <v>1</v>
      </c>
      <c r="D51" s="5">
        <v>53.5</v>
      </c>
      <c r="E51" s="4">
        <v>295070438</v>
      </c>
      <c r="F51" s="3" t="s">
        <v>5540</v>
      </c>
      <c r="G51" s="7" t="s">
        <v>5662</v>
      </c>
      <c r="H51" s="3" t="s">
        <v>5606</v>
      </c>
      <c r="I51" s="3" t="s">
        <v>5607</v>
      </c>
      <c r="J51" s="3" t="s">
        <v>5536</v>
      </c>
      <c r="K51" s="3" t="s">
        <v>5558</v>
      </c>
      <c r="L51" s="8" t="str">
        <f>HYPERLINK("http://slimages.macys.com/is/image/MCY/15555583 ")</f>
        <v xml:space="preserve">http://slimages.macys.com/is/image/MCY/15555583 </v>
      </c>
    </row>
    <row r="52" spans="1:12" ht="24.75" x14ac:dyDescent="0.25">
      <c r="A52" s="6" t="s">
        <v>5677</v>
      </c>
      <c r="B52" s="3" t="s">
        <v>5639</v>
      </c>
      <c r="C52" s="4">
        <v>1</v>
      </c>
      <c r="D52" s="5">
        <v>53.5</v>
      </c>
      <c r="E52" s="4">
        <v>45114088</v>
      </c>
      <c r="F52" s="3" t="s">
        <v>5640</v>
      </c>
      <c r="G52" s="7" t="s">
        <v>5557</v>
      </c>
      <c r="H52" s="3" t="s">
        <v>5606</v>
      </c>
      <c r="I52" s="3" t="s">
        <v>5607</v>
      </c>
      <c r="J52" s="3" t="s">
        <v>5536</v>
      </c>
      <c r="K52" s="3" t="s">
        <v>5641</v>
      </c>
      <c r="L52" s="8" t="str">
        <f>HYPERLINK("http://slimages.macys.com/is/image/MCY/14606494 ")</f>
        <v xml:space="preserve">http://slimages.macys.com/is/image/MCY/14606494 </v>
      </c>
    </row>
    <row r="53" spans="1:12" x14ac:dyDescent="0.25">
      <c r="A53" s="6" t="s">
        <v>5678</v>
      </c>
      <c r="B53" s="3" t="s">
        <v>5624</v>
      </c>
      <c r="C53" s="4">
        <v>1</v>
      </c>
      <c r="D53" s="5">
        <v>53.5</v>
      </c>
      <c r="E53" s="4">
        <v>295070700</v>
      </c>
      <c r="F53" s="3" t="s">
        <v>5625</v>
      </c>
      <c r="G53" s="7"/>
      <c r="H53" s="3" t="s">
        <v>5606</v>
      </c>
      <c r="I53" s="3" t="s">
        <v>5607</v>
      </c>
      <c r="J53" s="3" t="s">
        <v>5536</v>
      </c>
      <c r="K53" s="3" t="s">
        <v>5558</v>
      </c>
      <c r="L53" s="8" t="str">
        <f>HYPERLINK("http://slimages.macys.com/is/image/MCY/15555583 ")</f>
        <v xml:space="preserve">http://slimages.macys.com/is/image/MCY/15555583 </v>
      </c>
    </row>
    <row r="54" spans="1:12" ht="24.75" x14ac:dyDescent="0.25">
      <c r="A54" s="6" t="s">
        <v>5679</v>
      </c>
      <c r="B54" s="3" t="s">
        <v>5647</v>
      </c>
      <c r="C54" s="4">
        <v>1</v>
      </c>
      <c r="D54" s="5">
        <v>53.5</v>
      </c>
      <c r="E54" s="4">
        <v>45113016</v>
      </c>
      <c r="F54" s="3" t="s">
        <v>5540</v>
      </c>
      <c r="G54" s="7" t="s">
        <v>5680</v>
      </c>
      <c r="H54" s="3" t="s">
        <v>5606</v>
      </c>
      <c r="I54" s="3" t="s">
        <v>5607</v>
      </c>
      <c r="J54" s="3" t="s">
        <v>5536</v>
      </c>
      <c r="K54" s="3" t="s">
        <v>5641</v>
      </c>
      <c r="L54" s="8" t="str">
        <f>HYPERLINK("http://slimages.macys.com/is/image/MCY/14606494 ")</f>
        <v xml:space="preserve">http://slimages.macys.com/is/image/MCY/14606494 </v>
      </c>
    </row>
    <row r="55" spans="1:12" x14ac:dyDescent="0.25">
      <c r="A55" s="6" t="s">
        <v>5681</v>
      </c>
      <c r="B55" s="3" t="s">
        <v>5624</v>
      </c>
      <c r="C55" s="4">
        <v>1</v>
      </c>
      <c r="D55" s="5">
        <v>53.5</v>
      </c>
      <c r="E55" s="4">
        <v>295070700</v>
      </c>
      <c r="F55" s="3" t="s">
        <v>5625</v>
      </c>
      <c r="G55" s="7" t="s">
        <v>5682</v>
      </c>
      <c r="H55" s="3" t="s">
        <v>5606</v>
      </c>
      <c r="I55" s="3" t="s">
        <v>5607</v>
      </c>
      <c r="J55" s="3" t="s">
        <v>5536</v>
      </c>
      <c r="K55" s="3" t="s">
        <v>5558</v>
      </c>
      <c r="L55" s="8" t="str">
        <f>HYPERLINK("http://slimages.macys.com/is/image/MCY/15555583 ")</f>
        <v xml:space="preserve">http://slimages.macys.com/is/image/MCY/15555583 </v>
      </c>
    </row>
    <row r="56" spans="1:12" x14ac:dyDescent="0.25">
      <c r="A56" s="6" t="s">
        <v>5683</v>
      </c>
      <c r="B56" s="3" t="s">
        <v>5624</v>
      </c>
      <c r="C56" s="4">
        <v>1</v>
      </c>
      <c r="D56" s="5">
        <v>53.5</v>
      </c>
      <c r="E56" s="4">
        <v>295070700</v>
      </c>
      <c r="F56" s="3" t="s">
        <v>5625</v>
      </c>
      <c r="G56" s="7" t="s">
        <v>5662</v>
      </c>
      <c r="H56" s="3" t="s">
        <v>5606</v>
      </c>
      <c r="I56" s="3" t="s">
        <v>5607</v>
      </c>
      <c r="J56" s="3" t="s">
        <v>5536</v>
      </c>
      <c r="K56" s="3" t="s">
        <v>5558</v>
      </c>
      <c r="L56" s="8" t="str">
        <f>HYPERLINK("http://slimages.macys.com/is/image/MCY/15555583 ")</f>
        <v xml:space="preserve">http://slimages.macys.com/is/image/MCY/15555583 </v>
      </c>
    </row>
    <row r="57" spans="1:12" x14ac:dyDescent="0.25">
      <c r="A57" s="6" t="s">
        <v>5684</v>
      </c>
      <c r="B57" s="3" t="s">
        <v>5624</v>
      </c>
      <c r="C57" s="4">
        <v>1</v>
      </c>
      <c r="D57" s="5">
        <v>53.5</v>
      </c>
      <c r="E57" s="4">
        <v>295070700</v>
      </c>
      <c r="F57" s="3" t="s">
        <v>5625</v>
      </c>
      <c r="G57" s="7" t="s">
        <v>5685</v>
      </c>
      <c r="H57" s="3" t="s">
        <v>5606</v>
      </c>
      <c r="I57" s="3" t="s">
        <v>5607</v>
      </c>
      <c r="J57" s="3" t="s">
        <v>5536</v>
      </c>
      <c r="K57" s="3" t="s">
        <v>5558</v>
      </c>
      <c r="L57" s="8" t="str">
        <f>HYPERLINK("http://slimages.macys.com/is/image/MCY/15555583 ")</f>
        <v xml:space="preserve">http://slimages.macys.com/is/image/MCY/15555583 </v>
      </c>
    </row>
    <row r="58" spans="1:12" x14ac:dyDescent="0.25">
      <c r="A58" s="6" t="s">
        <v>5686</v>
      </c>
      <c r="B58" s="3" t="s">
        <v>5624</v>
      </c>
      <c r="C58" s="4">
        <v>1</v>
      </c>
      <c r="D58" s="5">
        <v>53.5</v>
      </c>
      <c r="E58" s="4">
        <v>295070700</v>
      </c>
      <c r="F58" s="3" t="s">
        <v>5625</v>
      </c>
      <c r="G58" s="7" t="s">
        <v>5579</v>
      </c>
      <c r="H58" s="3" t="s">
        <v>5606</v>
      </c>
      <c r="I58" s="3" t="s">
        <v>5607</v>
      </c>
      <c r="J58" s="3" t="s">
        <v>5536</v>
      </c>
      <c r="K58" s="3" t="s">
        <v>5558</v>
      </c>
      <c r="L58" s="8" t="str">
        <f>HYPERLINK("http://slimages.macys.com/is/image/MCY/15555583 ")</f>
        <v xml:space="preserve">http://slimages.macys.com/is/image/MCY/15555583 </v>
      </c>
    </row>
    <row r="59" spans="1:12" ht="24.75" x14ac:dyDescent="0.25">
      <c r="A59" s="6" t="s">
        <v>5687</v>
      </c>
      <c r="B59" s="3" t="s">
        <v>5647</v>
      </c>
      <c r="C59" s="4">
        <v>1</v>
      </c>
      <c r="D59" s="5">
        <v>53.5</v>
      </c>
      <c r="E59" s="4">
        <v>45113016</v>
      </c>
      <c r="F59" s="3" t="s">
        <v>5540</v>
      </c>
      <c r="G59" s="7" t="s">
        <v>5656</v>
      </c>
      <c r="H59" s="3" t="s">
        <v>5606</v>
      </c>
      <c r="I59" s="3" t="s">
        <v>5607</v>
      </c>
      <c r="J59" s="3" t="s">
        <v>5536</v>
      </c>
      <c r="K59" s="3" t="s">
        <v>5641</v>
      </c>
      <c r="L59" s="8" t="str">
        <f>HYPERLINK("http://slimages.macys.com/is/image/MCY/14606494 ")</f>
        <v xml:space="preserve">http://slimages.macys.com/is/image/MCY/14606494 </v>
      </c>
    </row>
    <row r="60" spans="1:12" ht="24.75" x14ac:dyDescent="0.25">
      <c r="A60" s="6" t="s">
        <v>5688</v>
      </c>
      <c r="B60" s="3" t="s">
        <v>5647</v>
      </c>
      <c r="C60" s="4">
        <v>1</v>
      </c>
      <c r="D60" s="5">
        <v>53.5</v>
      </c>
      <c r="E60" s="4">
        <v>45113016</v>
      </c>
      <c r="F60" s="3" t="s">
        <v>5540</v>
      </c>
      <c r="G60" s="7" t="s">
        <v>5672</v>
      </c>
      <c r="H60" s="3" t="s">
        <v>5606</v>
      </c>
      <c r="I60" s="3" t="s">
        <v>5607</v>
      </c>
      <c r="J60" s="3" t="s">
        <v>5536</v>
      </c>
      <c r="K60" s="3" t="s">
        <v>5641</v>
      </c>
      <c r="L60" s="8" t="str">
        <f>HYPERLINK("http://slimages.macys.com/is/image/MCY/14606494 ")</f>
        <v xml:space="preserve">http://slimages.macys.com/is/image/MCY/14606494 </v>
      </c>
    </row>
    <row r="61" spans="1:12" x14ac:dyDescent="0.25">
      <c r="A61" s="6" t="s">
        <v>5689</v>
      </c>
      <c r="B61" s="3" t="s">
        <v>5628</v>
      </c>
      <c r="C61" s="4">
        <v>1</v>
      </c>
      <c r="D61" s="5">
        <v>53.5</v>
      </c>
      <c r="E61" s="4">
        <v>295070438</v>
      </c>
      <c r="F61" s="3" t="s">
        <v>5540</v>
      </c>
      <c r="G61" s="7" t="s">
        <v>5685</v>
      </c>
      <c r="H61" s="3" t="s">
        <v>5606</v>
      </c>
      <c r="I61" s="3" t="s">
        <v>5607</v>
      </c>
      <c r="J61" s="3" t="s">
        <v>5536</v>
      </c>
      <c r="K61" s="3" t="s">
        <v>5558</v>
      </c>
      <c r="L61" s="8" t="str">
        <f>HYPERLINK("http://slimages.macys.com/is/image/MCY/15555583 ")</f>
        <v xml:space="preserve">http://slimages.macys.com/is/image/MCY/15555583 </v>
      </c>
    </row>
    <row r="62" spans="1:12" x14ac:dyDescent="0.25">
      <c r="A62" s="6" t="s">
        <v>5690</v>
      </c>
      <c r="B62" s="3" t="s">
        <v>5643</v>
      </c>
      <c r="C62" s="4">
        <v>1</v>
      </c>
      <c r="D62" s="5">
        <v>53.5</v>
      </c>
      <c r="E62" s="4">
        <v>295070547</v>
      </c>
      <c r="F62" s="3" t="s">
        <v>5640</v>
      </c>
      <c r="G62" s="7" t="s">
        <v>5629</v>
      </c>
      <c r="H62" s="3" t="s">
        <v>5606</v>
      </c>
      <c r="I62" s="3" t="s">
        <v>5607</v>
      </c>
      <c r="J62" s="3" t="s">
        <v>5536</v>
      </c>
      <c r="K62" s="3" t="s">
        <v>5558</v>
      </c>
      <c r="L62" s="8" t="str">
        <f>HYPERLINK("http://slimages.macys.com/is/image/MCY/15555583 ")</f>
        <v xml:space="preserve">http://slimages.macys.com/is/image/MCY/15555583 </v>
      </c>
    </row>
    <row r="63" spans="1:12" ht="24.75" x14ac:dyDescent="0.25">
      <c r="A63" s="6" t="s">
        <v>5691</v>
      </c>
      <c r="B63" s="3" t="s">
        <v>5633</v>
      </c>
      <c r="C63" s="4">
        <v>1</v>
      </c>
      <c r="D63" s="5">
        <v>53.5</v>
      </c>
      <c r="E63" s="4">
        <v>131510085</v>
      </c>
      <c r="F63" s="3" t="s">
        <v>5634</v>
      </c>
      <c r="G63" s="7" t="s">
        <v>5692</v>
      </c>
      <c r="H63" s="3" t="s">
        <v>5606</v>
      </c>
      <c r="I63" s="3" t="s">
        <v>5607</v>
      </c>
      <c r="J63" s="3" t="s">
        <v>5536</v>
      </c>
      <c r="K63" s="3" t="s">
        <v>5558</v>
      </c>
      <c r="L63" s="8" t="str">
        <f>HYPERLINK("http://slimages.macys.com/is/image/MCY/2977507 ")</f>
        <v xml:space="preserve">http://slimages.macys.com/is/image/MCY/2977507 </v>
      </c>
    </row>
    <row r="64" spans="1:12" x14ac:dyDescent="0.25">
      <c r="A64" s="6" t="s">
        <v>5693</v>
      </c>
      <c r="B64" s="3" t="s">
        <v>5653</v>
      </c>
      <c r="C64" s="4">
        <v>1</v>
      </c>
      <c r="D64" s="5">
        <v>53.5</v>
      </c>
      <c r="E64" s="4">
        <v>295070702</v>
      </c>
      <c r="F64" s="3" t="s">
        <v>5578</v>
      </c>
      <c r="G64" s="7" t="s">
        <v>5694</v>
      </c>
      <c r="H64" s="3" t="s">
        <v>5606</v>
      </c>
      <c r="I64" s="3" t="s">
        <v>5607</v>
      </c>
      <c r="J64" s="3" t="s">
        <v>5536</v>
      </c>
      <c r="K64" s="3" t="s">
        <v>5558</v>
      </c>
      <c r="L64" s="8" t="str">
        <f>HYPERLINK("http://slimages.macys.com/is/image/MCY/10568493 ")</f>
        <v xml:space="preserve">http://slimages.macys.com/is/image/MCY/10568493 </v>
      </c>
    </row>
    <row r="65" spans="1:12" ht="24.75" x14ac:dyDescent="0.25">
      <c r="A65" s="6" t="s">
        <v>5695</v>
      </c>
      <c r="B65" s="3" t="s">
        <v>5660</v>
      </c>
      <c r="C65" s="4">
        <v>1</v>
      </c>
      <c r="D65" s="5">
        <v>53.5</v>
      </c>
      <c r="E65" s="4">
        <v>45114090</v>
      </c>
      <c r="F65" s="3" t="s">
        <v>5661</v>
      </c>
      <c r="G65" s="7" t="s">
        <v>5579</v>
      </c>
      <c r="H65" s="3" t="s">
        <v>5606</v>
      </c>
      <c r="I65" s="3" t="s">
        <v>5607</v>
      </c>
      <c r="J65" s="3" t="s">
        <v>5536</v>
      </c>
      <c r="K65" s="3" t="s">
        <v>5641</v>
      </c>
      <c r="L65" s="8" t="str">
        <f>HYPERLINK("http://slimages.macys.com/is/image/MCY/14606494 ")</f>
        <v xml:space="preserve">http://slimages.macys.com/is/image/MCY/14606494 </v>
      </c>
    </row>
    <row r="66" spans="1:12" x14ac:dyDescent="0.25">
      <c r="A66" s="6" t="s">
        <v>5696</v>
      </c>
      <c r="B66" s="3" t="s">
        <v>5628</v>
      </c>
      <c r="C66" s="4">
        <v>1</v>
      </c>
      <c r="D66" s="5">
        <v>53.5</v>
      </c>
      <c r="E66" s="4">
        <v>295070438</v>
      </c>
      <c r="F66" s="3" t="s">
        <v>5540</v>
      </c>
      <c r="G66" s="7" t="s">
        <v>5672</v>
      </c>
      <c r="H66" s="3" t="s">
        <v>5606</v>
      </c>
      <c r="I66" s="3" t="s">
        <v>5607</v>
      </c>
      <c r="J66" s="3" t="s">
        <v>5536</v>
      </c>
      <c r="K66" s="3" t="s">
        <v>5558</v>
      </c>
      <c r="L66" s="8" t="str">
        <f>HYPERLINK("http://slimages.macys.com/is/image/MCY/15555583 ")</f>
        <v xml:space="preserve">http://slimages.macys.com/is/image/MCY/15555583 </v>
      </c>
    </row>
    <row r="67" spans="1:12" x14ac:dyDescent="0.25">
      <c r="A67" s="6" t="s">
        <v>5697</v>
      </c>
      <c r="B67" s="3" t="s">
        <v>5653</v>
      </c>
      <c r="C67" s="4">
        <v>1</v>
      </c>
      <c r="D67" s="5">
        <v>53.5</v>
      </c>
      <c r="E67" s="4">
        <v>295070702</v>
      </c>
      <c r="F67" s="3" t="s">
        <v>5578</v>
      </c>
      <c r="G67" s="7" t="s">
        <v>5685</v>
      </c>
      <c r="H67" s="3" t="s">
        <v>5606</v>
      </c>
      <c r="I67" s="3" t="s">
        <v>5607</v>
      </c>
      <c r="J67" s="3" t="s">
        <v>5536</v>
      </c>
      <c r="K67" s="3" t="s">
        <v>5558</v>
      </c>
      <c r="L67" s="8" t="str">
        <f>HYPERLINK("http://slimages.macys.com/is/image/MCY/10568493 ")</f>
        <v xml:space="preserve">http://slimages.macys.com/is/image/MCY/10568493 </v>
      </c>
    </row>
    <row r="68" spans="1:12" x14ac:dyDescent="0.25">
      <c r="A68" s="6" t="s">
        <v>5698</v>
      </c>
      <c r="B68" s="3" t="s">
        <v>5628</v>
      </c>
      <c r="C68" s="4">
        <v>3</v>
      </c>
      <c r="D68" s="5">
        <v>160.5</v>
      </c>
      <c r="E68" s="4">
        <v>295070438</v>
      </c>
      <c r="F68" s="3" t="s">
        <v>5540</v>
      </c>
      <c r="G68" s="7"/>
      <c r="H68" s="3" t="s">
        <v>5606</v>
      </c>
      <c r="I68" s="3" t="s">
        <v>5607</v>
      </c>
      <c r="J68" s="3" t="s">
        <v>5536</v>
      </c>
      <c r="K68" s="3" t="s">
        <v>5558</v>
      </c>
      <c r="L68" s="8" t="str">
        <f>HYPERLINK("http://slimages.macys.com/is/image/MCY/15555583 ")</f>
        <v xml:space="preserve">http://slimages.macys.com/is/image/MCY/15555583 </v>
      </c>
    </row>
    <row r="69" spans="1:12" x14ac:dyDescent="0.25">
      <c r="A69" s="6" t="s">
        <v>5699</v>
      </c>
      <c r="B69" s="3" t="s">
        <v>5653</v>
      </c>
      <c r="C69" s="4">
        <v>1</v>
      </c>
      <c r="D69" s="5">
        <v>53.5</v>
      </c>
      <c r="E69" s="4">
        <v>295070702</v>
      </c>
      <c r="F69" s="3" t="s">
        <v>5578</v>
      </c>
      <c r="G69" s="7" t="s">
        <v>5672</v>
      </c>
      <c r="H69" s="3" t="s">
        <v>5606</v>
      </c>
      <c r="I69" s="3" t="s">
        <v>5607</v>
      </c>
      <c r="J69" s="3" t="s">
        <v>5536</v>
      </c>
      <c r="K69" s="3" t="s">
        <v>5558</v>
      </c>
      <c r="L69" s="8" t="str">
        <f>HYPERLINK("http://slimages.macys.com/is/image/MCY/10568493 ")</f>
        <v xml:space="preserve">http://slimages.macys.com/is/image/MCY/10568493 </v>
      </c>
    </row>
    <row r="70" spans="1:12" x14ac:dyDescent="0.25">
      <c r="A70" s="6" t="s">
        <v>5700</v>
      </c>
      <c r="B70" s="3" t="s">
        <v>5653</v>
      </c>
      <c r="C70" s="4">
        <v>2</v>
      </c>
      <c r="D70" s="5">
        <v>107</v>
      </c>
      <c r="E70" s="4">
        <v>295070702</v>
      </c>
      <c r="F70" s="3" t="s">
        <v>5578</v>
      </c>
      <c r="G70" s="7" t="s">
        <v>5658</v>
      </c>
      <c r="H70" s="3" t="s">
        <v>5606</v>
      </c>
      <c r="I70" s="3" t="s">
        <v>5607</v>
      </c>
      <c r="J70" s="3" t="s">
        <v>5536</v>
      </c>
      <c r="K70" s="3" t="s">
        <v>5558</v>
      </c>
      <c r="L70" s="8" t="str">
        <f>HYPERLINK("http://slimages.macys.com/is/image/MCY/10568493 ")</f>
        <v xml:space="preserve">http://slimages.macys.com/is/image/MCY/10568493 </v>
      </c>
    </row>
    <row r="71" spans="1:12" x14ac:dyDescent="0.25">
      <c r="A71" s="6" t="s">
        <v>5701</v>
      </c>
      <c r="B71" s="3" t="s">
        <v>5702</v>
      </c>
      <c r="C71" s="4">
        <v>1</v>
      </c>
      <c r="D71" s="5">
        <v>53.5</v>
      </c>
      <c r="E71" s="4">
        <v>295070467</v>
      </c>
      <c r="F71" s="3" t="s">
        <v>5552</v>
      </c>
      <c r="G71" s="7" t="s">
        <v>5629</v>
      </c>
      <c r="H71" s="3" t="s">
        <v>5606</v>
      </c>
      <c r="I71" s="3" t="s">
        <v>5607</v>
      </c>
      <c r="J71" s="3" t="s">
        <v>5536</v>
      </c>
      <c r="K71" s="3" t="s">
        <v>5558</v>
      </c>
      <c r="L71" s="8" t="str">
        <f>HYPERLINK("http://slimages.macys.com/is/image/MCY/15552503 ")</f>
        <v xml:space="preserve">http://slimages.macys.com/is/image/MCY/15552503 </v>
      </c>
    </row>
    <row r="72" spans="1:12" x14ac:dyDescent="0.25">
      <c r="A72" s="6" t="s">
        <v>5703</v>
      </c>
      <c r="B72" s="3" t="s">
        <v>5704</v>
      </c>
      <c r="C72" s="4">
        <v>2</v>
      </c>
      <c r="D72" s="5">
        <v>107</v>
      </c>
      <c r="E72" s="4">
        <v>5012751</v>
      </c>
      <c r="F72" s="3" t="s">
        <v>5540</v>
      </c>
      <c r="G72" s="7" t="s">
        <v>5705</v>
      </c>
      <c r="H72" s="3" t="s">
        <v>5606</v>
      </c>
      <c r="I72" s="3" t="s">
        <v>5607</v>
      </c>
      <c r="J72" s="3" t="s">
        <v>5536</v>
      </c>
      <c r="K72" s="3" t="s">
        <v>5594</v>
      </c>
      <c r="L72" s="8" t="str">
        <f>HYPERLINK("http://slimages.macys.com/is/image/MCY/11641134 ")</f>
        <v xml:space="preserve">http://slimages.macys.com/is/image/MCY/11641134 </v>
      </c>
    </row>
    <row r="73" spans="1:12" x14ac:dyDescent="0.25">
      <c r="A73" s="6" t="s">
        <v>5706</v>
      </c>
      <c r="B73" s="3" t="s">
        <v>5704</v>
      </c>
      <c r="C73" s="4">
        <v>1</v>
      </c>
      <c r="D73" s="5">
        <v>53.5</v>
      </c>
      <c r="E73" s="4">
        <v>5012751</v>
      </c>
      <c r="F73" s="3" t="s">
        <v>5540</v>
      </c>
      <c r="G73" s="7" t="s">
        <v>5707</v>
      </c>
      <c r="H73" s="3" t="s">
        <v>5606</v>
      </c>
      <c r="I73" s="3" t="s">
        <v>5607</v>
      </c>
      <c r="J73" s="3" t="s">
        <v>5536</v>
      </c>
      <c r="K73" s="3" t="s">
        <v>5594</v>
      </c>
      <c r="L73" s="8" t="str">
        <f>HYPERLINK("http://slimages.macys.com/is/image/MCY/11641134 ")</f>
        <v xml:space="preserve">http://slimages.macys.com/is/image/MCY/11641134 </v>
      </c>
    </row>
    <row r="74" spans="1:12" x14ac:dyDescent="0.25">
      <c r="A74" s="6" t="s">
        <v>5708</v>
      </c>
      <c r="B74" s="3" t="s">
        <v>5709</v>
      </c>
      <c r="C74" s="4">
        <v>1</v>
      </c>
      <c r="D74" s="5">
        <v>53.5</v>
      </c>
      <c r="E74" s="4">
        <v>5012309</v>
      </c>
      <c r="F74" s="3" t="s">
        <v>5625</v>
      </c>
      <c r="G74" s="7" t="s">
        <v>5710</v>
      </c>
      <c r="H74" s="3" t="s">
        <v>5606</v>
      </c>
      <c r="I74" s="3" t="s">
        <v>5607</v>
      </c>
      <c r="J74" s="3" t="s">
        <v>5536</v>
      </c>
      <c r="K74" s="3" t="s">
        <v>5594</v>
      </c>
      <c r="L74" s="8" t="str">
        <f>HYPERLINK("http://slimages.macys.com/is/image/MCY/3583079 ")</f>
        <v xml:space="preserve">http://slimages.macys.com/is/image/MCY/3583079 </v>
      </c>
    </row>
    <row r="75" spans="1:12" ht="24.75" x14ac:dyDescent="0.25">
      <c r="A75" s="6" t="s">
        <v>5711</v>
      </c>
      <c r="B75" s="3" t="s">
        <v>5712</v>
      </c>
      <c r="C75" s="4">
        <v>1</v>
      </c>
      <c r="D75" s="5">
        <v>69.5</v>
      </c>
      <c r="E75" s="4" t="s">
        <v>5713</v>
      </c>
      <c r="F75" s="3" t="s">
        <v>5714</v>
      </c>
      <c r="G75" s="7" t="s">
        <v>5582</v>
      </c>
      <c r="H75" s="3" t="s">
        <v>5715</v>
      </c>
      <c r="I75" s="3" t="s">
        <v>5716</v>
      </c>
      <c r="J75" s="3" t="s">
        <v>5536</v>
      </c>
      <c r="K75" s="3" t="s">
        <v>5549</v>
      </c>
      <c r="L75" s="8" t="str">
        <f>HYPERLINK("http://slimages.macys.com/is/image/MCY/14715850 ")</f>
        <v xml:space="preserve">http://slimages.macys.com/is/image/MCY/14715850 </v>
      </c>
    </row>
    <row r="76" spans="1:12" ht="24.75" x14ac:dyDescent="0.25">
      <c r="A76" s="6" t="s">
        <v>5717</v>
      </c>
      <c r="B76" s="3" t="s">
        <v>5718</v>
      </c>
      <c r="C76" s="4">
        <v>1</v>
      </c>
      <c r="D76" s="5">
        <v>49.99</v>
      </c>
      <c r="E76" s="4">
        <v>45111852</v>
      </c>
      <c r="F76" s="3" t="s">
        <v>5540</v>
      </c>
      <c r="G76" s="7" t="s">
        <v>5626</v>
      </c>
      <c r="H76" s="3" t="s">
        <v>5606</v>
      </c>
      <c r="I76" s="3" t="s">
        <v>5607</v>
      </c>
      <c r="J76" s="3" t="s">
        <v>5536</v>
      </c>
      <c r="K76" s="3" t="s">
        <v>5594</v>
      </c>
      <c r="L76" s="8" t="str">
        <f>HYPERLINK("http://slimages.macys.com/is/image/MCY/9664545 ")</f>
        <v xml:space="preserve">http://slimages.macys.com/is/image/MCY/9664545 </v>
      </c>
    </row>
    <row r="77" spans="1:12" ht="24.75" x14ac:dyDescent="0.25">
      <c r="A77" s="6" t="s">
        <v>5719</v>
      </c>
      <c r="B77" s="3" t="s">
        <v>5720</v>
      </c>
      <c r="C77" s="4">
        <v>1</v>
      </c>
      <c r="D77" s="5">
        <v>70.989999999999995</v>
      </c>
      <c r="E77" s="4" t="s">
        <v>5721</v>
      </c>
      <c r="F77" s="3" t="s">
        <v>5625</v>
      </c>
      <c r="G77" s="7"/>
      <c r="H77" s="3" t="s">
        <v>5722</v>
      </c>
      <c r="I77" s="3" t="s">
        <v>5723</v>
      </c>
      <c r="J77" s="3" t="s">
        <v>5536</v>
      </c>
      <c r="K77" s="3" t="s">
        <v>5558</v>
      </c>
      <c r="L77" s="8" t="str">
        <f>HYPERLINK("http://slimages.macys.com/is/image/MCY/15641809 ")</f>
        <v xml:space="preserve">http://slimages.macys.com/is/image/MCY/15641809 </v>
      </c>
    </row>
    <row r="78" spans="1:12" ht="24.75" x14ac:dyDescent="0.25">
      <c r="A78" s="6" t="s">
        <v>5724</v>
      </c>
      <c r="B78" s="3" t="s">
        <v>5725</v>
      </c>
      <c r="C78" s="4">
        <v>1</v>
      </c>
      <c r="D78" s="5">
        <v>60</v>
      </c>
      <c r="E78" s="4">
        <v>1345612</v>
      </c>
      <c r="F78" s="3" t="s">
        <v>5532</v>
      </c>
      <c r="G78" s="7" t="s">
        <v>5562</v>
      </c>
      <c r="H78" s="3" t="s">
        <v>5726</v>
      </c>
      <c r="I78" s="3" t="s">
        <v>5726</v>
      </c>
      <c r="J78" s="3" t="s">
        <v>5536</v>
      </c>
      <c r="K78" s="3" t="s">
        <v>5727</v>
      </c>
      <c r="L78" s="8" t="str">
        <f>HYPERLINK("http://slimages.macys.com/is/image/MCY/14465936 ")</f>
        <v xml:space="preserve">http://slimages.macys.com/is/image/MCY/14465936 </v>
      </c>
    </row>
    <row r="79" spans="1:12" ht="24.75" x14ac:dyDescent="0.25">
      <c r="A79" s="6" t="s">
        <v>5728</v>
      </c>
      <c r="B79" s="3" t="s">
        <v>5729</v>
      </c>
      <c r="C79" s="4">
        <v>1</v>
      </c>
      <c r="D79" s="5">
        <v>60</v>
      </c>
      <c r="E79" s="4">
        <v>1345611</v>
      </c>
      <c r="F79" s="3" t="s">
        <v>5625</v>
      </c>
      <c r="G79" s="7" t="s">
        <v>5596</v>
      </c>
      <c r="H79" s="3" t="s">
        <v>5726</v>
      </c>
      <c r="I79" s="3" t="s">
        <v>5726</v>
      </c>
      <c r="J79" s="3" t="s">
        <v>5536</v>
      </c>
      <c r="K79" s="3" t="s">
        <v>5727</v>
      </c>
      <c r="L79" s="8" t="str">
        <f>HYPERLINK("http://slimages.macys.com/is/image/MCY/14466020 ")</f>
        <v xml:space="preserve">http://slimages.macys.com/is/image/MCY/14466020 </v>
      </c>
    </row>
    <row r="80" spans="1:12" ht="24.75" x14ac:dyDescent="0.25">
      <c r="A80" s="6" t="s">
        <v>5730</v>
      </c>
      <c r="B80" s="3" t="s">
        <v>5725</v>
      </c>
      <c r="C80" s="4">
        <v>1</v>
      </c>
      <c r="D80" s="5">
        <v>60</v>
      </c>
      <c r="E80" s="4">
        <v>1345612</v>
      </c>
      <c r="F80" s="3" t="s">
        <v>5532</v>
      </c>
      <c r="G80" s="7" t="s">
        <v>5560</v>
      </c>
      <c r="H80" s="3" t="s">
        <v>5726</v>
      </c>
      <c r="I80" s="3" t="s">
        <v>5726</v>
      </c>
      <c r="J80" s="3" t="s">
        <v>5536</v>
      </c>
      <c r="K80" s="3" t="s">
        <v>5727</v>
      </c>
      <c r="L80" s="8" t="str">
        <f>HYPERLINK("http://slimages.macys.com/is/image/MCY/14465936 ")</f>
        <v xml:space="preserve">http://slimages.macys.com/is/image/MCY/14465936 </v>
      </c>
    </row>
    <row r="81" spans="1:12" ht="48.75" x14ac:dyDescent="0.25">
      <c r="A81" s="6" t="s">
        <v>5731</v>
      </c>
      <c r="B81" s="3" t="s">
        <v>5732</v>
      </c>
      <c r="C81" s="4">
        <v>1</v>
      </c>
      <c r="D81" s="5">
        <v>99.5</v>
      </c>
      <c r="E81" s="4">
        <v>100068753</v>
      </c>
      <c r="F81" s="3" t="s">
        <v>5540</v>
      </c>
      <c r="G81" s="7" t="s">
        <v>5733</v>
      </c>
      <c r="H81" s="3" t="s">
        <v>5585</v>
      </c>
      <c r="I81" s="3" t="s">
        <v>5734</v>
      </c>
      <c r="J81" s="3" t="s">
        <v>5536</v>
      </c>
      <c r="K81" s="3" t="s">
        <v>5735</v>
      </c>
      <c r="L81" s="8" t="str">
        <f>HYPERLINK("http://slimages.macys.com/is/image/MCY/15216433 ")</f>
        <v xml:space="preserve">http://slimages.macys.com/is/image/MCY/15216433 </v>
      </c>
    </row>
    <row r="82" spans="1:12" ht="108.75" x14ac:dyDescent="0.25">
      <c r="A82" s="6" t="s">
        <v>5736</v>
      </c>
      <c r="B82" s="3" t="s">
        <v>5737</v>
      </c>
      <c r="C82" s="4">
        <v>1</v>
      </c>
      <c r="D82" s="5">
        <v>99.5</v>
      </c>
      <c r="E82" s="4" t="s">
        <v>5738</v>
      </c>
      <c r="F82" s="3" t="s">
        <v>5540</v>
      </c>
      <c r="G82" s="7" t="s">
        <v>5598</v>
      </c>
      <c r="H82" s="3" t="s">
        <v>5585</v>
      </c>
      <c r="I82" s="3" t="s">
        <v>5734</v>
      </c>
      <c r="J82" s="3" t="s">
        <v>5536</v>
      </c>
      <c r="K82" s="3" t="s">
        <v>5739</v>
      </c>
      <c r="L82" s="8" t="str">
        <f>HYPERLINK("http://slimages.macys.com/is/image/MCY/15648992 ")</f>
        <v xml:space="preserve">http://slimages.macys.com/is/image/MCY/15648992 </v>
      </c>
    </row>
    <row r="83" spans="1:12" ht="24.75" x14ac:dyDescent="0.25">
      <c r="A83" s="6" t="s">
        <v>5740</v>
      </c>
      <c r="B83" s="3" t="s">
        <v>5741</v>
      </c>
      <c r="C83" s="4">
        <v>1</v>
      </c>
      <c r="D83" s="5">
        <v>59.98</v>
      </c>
      <c r="E83" s="4" t="s">
        <v>5742</v>
      </c>
      <c r="F83" s="3" t="s">
        <v>5572</v>
      </c>
      <c r="G83" s="7" t="s">
        <v>5629</v>
      </c>
      <c r="H83" s="3" t="s">
        <v>5715</v>
      </c>
      <c r="I83" s="3" t="s">
        <v>5716</v>
      </c>
      <c r="J83" s="3" t="s">
        <v>5536</v>
      </c>
      <c r="K83" s="3" t="s">
        <v>5558</v>
      </c>
      <c r="L83" s="8" t="str">
        <f>HYPERLINK("http://slimages.macys.com/is/image/MCY/14366560 ")</f>
        <v xml:space="preserve">http://slimages.macys.com/is/image/MCY/14366560 </v>
      </c>
    </row>
    <row r="84" spans="1:12" x14ac:dyDescent="0.25">
      <c r="A84" s="6" t="s">
        <v>5743</v>
      </c>
      <c r="B84" s="3" t="s">
        <v>5744</v>
      </c>
      <c r="C84" s="4">
        <v>1</v>
      </c>
      <c r="D84" s="5">
        <v>99.5</v>
      </c>
      <c r="E84" s="4">
        <v>100075437</v>
      </c>
      <c r="F84" s="3" t="s">
        <v>5745</v>
      </c>
      <c r="G84" s="7" t="s">
        <v>5533</v>
      </c>
      <c r="H84" s="3" t="s">
        <v>5585</v>
      </c>
      <c r="I84" s="3" t="s">
        <v>5734</v>
      </c>
      <c r="J84" s="3" t="s">
        <v>5536</v>
      </c>
      <c r="K84" s="3" t="s">
        <v>5727</v>
      </c>
      <c r="L84" s="8" t="str">
        <f>HYPERLINK("http://slimages.macys.com/is/image/MCY/15185835 ")</f>
        <v xml:space="preserve">http://slimages.macys.com/is/image/MCY/15185835 </v>
      </c>
    </row>
    <row r="85" spans="1:12" x14ac:dyDescent="0.25">
      <c r="A85" s="6" t="s">
        <v>5746</v>
      </c>
      <c r="B85" s="3" t="s">
        <v>5747</v>
      </c>
      <c r="C85" s="4">
        <v>1</v>
      </c>
      <c r="D85" s="5">
        <v>53.5</v>
      </c>
      <c r="E85" s="4">
        <v>295070112</v>
      </c>
      <c r="F85" s="3" t="s">
        <v>5625</v>
      </c>
      <c r="G85" s="7" t="s">
        <v>5579</v>
      </c>
      <c r="H85" s="3" t="s">
        <v>5606</v>
      </c>
      <c r="I85" s="3" t="s">
        <v>5607</v>
      </c>
      <c r="J85" s="3" t="s">
        <v>5536</v>
      </c>
      <c r="K85" s="3" t="s">
        <v>5558</v>
      </c>
      <c r="L85" s="8" t="str">
        <f>HYPERLINK("http://slimages.macys.com/is/image/MCY/11312515 ")</f>
        <v xml:space="preserve">http://slimages.macys.com/is/image/MCY/11312515 </v>
      </c>
    </row>
    <row r="86" spans="1:12" x14ac:dyDescent="0.25">
      <c r="A86" s="6" t="s">
        <v>5748</v>
      </c>
      <c r="B86" s="3" t="s">
        <v>5749</v>
      </c>
      <c r="C86" s="4">
        <v>1</v>
      </c>
      <c r="D86" s="5">
        <v>53.5</v>
      </c>
      <c r="E86" s="4">
        <v>5141113</v>
      </c>
      <c r="F86" s="3" t="s">
        <v>5532</v>
      </c>
      <c r="G86" s="7" t="s">
        <v>5672</v>
      </c>
      <c r="H86" s="3" t="s">
        <v>5606</v>
      </c>
      <c r="I86" s="3" t="s">
        <v>5607</v>
      </c>
      <c r="J86" s="3" t="s">
        <v>5536</v>
      </c>
      <c r="K86" s="3" t="s">
        <v>5558</v>
      </c>
      <c r="L86" s="8" t="str">
        <f>HYPERLINK("http://slimages.macys.com/is/image/MCY/10472716 ")</f>
        <v xml:space="preserve">http://slimages.macys.com/is/image/MCY/10472716 </v>
      </c>
    </row>
    <row r="87" spans="1:12" x14ac:dyDescent="0.25">
      <c r="A87" s="6" t="s">
        <v>5750</v>
      </c>
      <c r="B87" s="3" t="s">
        <v>5749</v>
      </c>
      <c r="C87" s="4">
        <v>1</v>
      </c>
      <c r="D87" s="5">
        <v>53.5</v>
      </c>
      <c r="E87" s="4">
        <v>5141113</v>
      </c>
      <c r="F87" s="3" t="s">
        <v>5532</v>
      </c>
      <c r="G87" s="7" t="s">
        <v>5557</v>
      </c>
      <c r="H87" s="3" t="s">
        <v>5606</v>
      </c>
      <c r="I87" s="3" t="s">
        <v>5607</v>
      </c>
      <c r="J87" s="3" t="s">
        <v>5536</v>
      </c>
      <c r="K87" s="3" t="s">
        <v>5558</v>
      </c>
      <c r="L87" s="8" t="str">
        <f>HYPERLINK("http://slimages.macys.com/is/image/MCY/10472716 ")</f>
        <v xml:space="preserve">http://slimages.macys.com/is/image/MCY/10472716 </v>
      </c>
    </row>
    <row r="88" spans="1:12" ht="24.75" x14ac:dyDescent="0.25">
      <c r="A88" s="6" t="s">
        <v>5751</v>
      </c>
      <c r="B88" s="3" t="s">
        <v>5752</v>
      </c>
      <c r="C88" s="4">
        <v>1</v>
      </c>
      <c r="D88" s="5">
        <v>64.989999999999995</v>
      </c>
      <c r="E88" s="4" t="s">
        <v>5753</v>
      </c>
      <c r="F88" s="3" t="s">
        <v>5754</v>
      </c>
      <c r="G88" s="7" t="s">
        <v>5755</v>
      </c>
      <c r="H88" s="3" t="s">
        <v>5722</v>
      </c>
      <c r="I88" s="3" t="s">
        <v>5756</v>
      </c>
      <c r="J88" s="3" t="s">
        <v>5536</v>
      </c>
      <c r="K88" s="3" t="s">
        <v>5549</v>
      </c>
      <c r="L88" s="8" t="str">
        <f>HYPERLINK("http://slimages.macys.com/is/image/MCY/8823845 ")</f>
        <v xml:space="preserve">http://slimages.macys.com/is/image/MCY/8823845 </v>
      </c>
    </row>
    <row r="89" spans="1:12" ht="24.75" x14ac:dyDescent="0.25">
      <c r="A89" s="6" t="s">
        <v>5757</v>
      </c>
      <c r="B89" s="3" t="s">
        <v>5758</v>
      </c>
      <c r="C89" s="4">
        <v>1</v>
      </c>
      <c r="D89" s="5">
        <v>64.989999999999995</v>
      </c>
      <c r="E89" s="4" t="s">
        <v>5759</v>
      </c>
      <c r="F89" s="3" t="s">
        <v>5754</v>
      </c>
      <c r="G89" s="7" t="s">
        <v>5760</v>
      </c>
      <c r="H89" s="3" t="s">
        <v>5722</v>
      </c>
      <c r="I89" s="3" t="s">
        <v>5756</v>
      </c>
      <c r="J89" s="3" t="s">
        <v>5536</v>
      </c>
      <c r="K89" s="3" t="s">
        <v>5594</v>
      </c>
      <c r="L89" s="8" t="str">
        <f>HYPERLINK("http://slimages.macys.com/is/image/MCY/3974531 ")</f>
        <v xml:space="preserve">http://slimages.macys.com/is/image/MCY/3974531 </v>
      </c>
    </row>
    <row r="90" spans="1:12" ht="24.75" x14ac:dyDescent="0.25">
      <c r="A90" s="6" t="s">
        <v>5761</v>
      </c>
      <c r="B90" s="3" t="s">
        <v>5758</v>
      </c>
      <c r="C90" s="4">
        <v>2</v>
      </c>
      <c r="D90" s="5">
        <v>129.97999999999999</v>
      </c>
      <c r="E90" s="4" t="s">
        <v>5759</v>
      </c>
      <c r="F90" s="3" t="s">
        <v>5754</v>
      </c>
      <c r="G90" s="7" t="s">
        <v>5762</v>
      </c>
      <c r="H90" s="3" t="s">
        <v>5722</v>
      </c>
      <c r="I90" s="3" t="s">
        <v>5756</v>
      </c>
      <c r="J90" s="3" t="s">
        <v>5536</v>
      </c>
      <c r="K90" s="3" t="s">
        <v>5594</v>
      </c>
      <c r="L90" s="8" t="str">
        <f>HYPERLINK("http://slimages.macys.com/is/image/MCY/3974531 ")</f>
        <v xml:space="preserve">http://slimages.macys.com/is/image/MCY/3974531 </v>
      </c>
    </row>
    <row r="91" spans="1:12" ht="24.75" x14ac:dyDescent="0.25">
      <c r="A91" s="6" t="s">
        <v>5763</v>
      </c>
      <c r="B91" s="3" t="s">
        <v>5758</v>
      </c>
      <c r="C91" s="4">
        <v>1</v>
      </c>
      <c r="D91" s="5">
        <v>64.989999999999995</v>
      </c>
      <c r="E91" s="4" t="s">
        <v>5759</v>
      </c>
      <c r="F91" s="3" t="s">
        <v>5754</v>
      </c>
      <c r="G91" s="7" t="s">
        <v>5764</v>
      </c>
      <c r="H91" s="3" t="s">
        <v>5722</v>
      </c>
      <c r="I91" s="3" t="s">
        <v>5756</v>
      </c>
      <c r="J91" s="3" t="s">
        <v>5536</v>
      </c>
      <c r="K91" s="3" t="s">
        <v>5594</v>
      </c>
      <c r="L91" s="8" t="str">
        <f>HYPERLINK("http://slimages.macys.com/is/image/MCY/3974531 ")</f>
        <v xml:space="preserve">http://slimages.macys.com/is/image/MCY/3974531 </v>
      </c>
    </row>
    <row r="92" spans="1:12" ht="24.75" x14ac:dyDescent="0.25">
      <c r="A92" s="6" t="s">
        <v>5765</v>
      </c>
      <c r="B92" s="3" t="s">
        <v>5752</v>
      </c>
      <c r="C92" s="4">
        <v>1</v>
      </c>
      <c r="D92" s="5">
        <v>64.989999999999995</v>
      </c>
      <c r="E92" s="4" t="s">
        <v>5753</v>
      </c>
      <c r="F92" s="3" t="s">
        <v>5754</v>
      </c>
      <c r="G92" s="7" t="s">
        <v>5766</v>
      </c>
      <c r="H92" s="3" t="s">
        <v>5722</v>
      </c>
      <c r="I92" s="3" t="s">
        <v>5756</v>
      </c>
      <c r="J92" s="3" t="s">
        <v>5536</v>
      </c>
      <c r="K92" s="3" t="s">
        <v>5549</v>
      </c>
      <c r="L92" s="8" t="str">
        <f>HYPERLINK("http://slimages.macys.com/is/image/MCY/8823845 ")</f>
        <v xml:space="preserve">http://slimages.macys.com/is/image/MCY/8823845 </v>
      </c>
    </row>
    <row r="93" spans="1:12" ht="24.75" x14ac:dyDescent="0.25">
      <c r="A93" s="6" t="s">
        <v>5767</v>
      </c>
      <c r="B93" s="3" t="s">
        <v>5758</v>
      </c>
      <c r="C93" s="4">
        <v>1</v>
      </c>
      <c r="D93" s="5">
        <v>64.989999999999995</v>
      </c>
      <c r="E93" s="4" t="s">
        <v>5759</v>
      </c>
      <c r="F93" s="3" t="s">
        <v>5754</v>
      </c>
      <c r="G93" s="7" t="s">
        <v>5768</v>
      </c>
      <c r="H93" s="3" t="s">
        <v>5722</v>
      </c>
      <c r="I93" s="3" t="s">
        <v>5756</v>
      </c>
      <c r="J93" s="3" t="s">
        <v>5536</v>
      </c>
      <c r="K93" s="3" t="s">
        <v>5594</v>
      </c>
      <c r="L93" s="8" t="str">
        <f>HYPERLINK("http://slimages.macys.com/is/image/MCY/3974531 ")</f>
        <v xml:space="preserve">http://slimages.macys.com/is/image/MCY/3974531 </v>
      </c>
    </row>
    <row r="94" spans="1:12" ht="24.75" x14ac:dyDescent="0.25">
      <c r="A94" s="6" t="s">
        <v>5769</v>
      </c>
      <c r="B94" s="3" t="s">
        <v>5752</v>
      </c>
      <c r="C94" s="4">
        <v>1</v>
      </c>
      <c r="D94" s="5">
        <v>64.989999999999995</v>
      </c>
      <c r="E94" s="4" t="s">
        <v>5753</v>
      </c>
      <c r="F94" s="3" t="s">
        <v>5754</v>
      </c>
      <c r="G94" s="7"/>
      <c r="H94" s="3" t="s">
        <v>5722</v>
      </c>
      <c r="I94" s="3" t="s">
        <v>5756</v>
      </c>
      <c r="J94" s="3" t="s">
        <v>5536</v>
      </c>
      <c r="K94" s="3" t="s">
        <v>5549</v>
      </c>
      <c r="L94" s="8" t="str">
        <f>HYPERLINK("http://slimages.macys.com/is/image/MCY/8823845 ")</f>
        <v xml:space="preserve">http://slimages.macys.com/is/image/MCY/8823845 </v>
      </c>
    </row>
    <row r="95" spans="1:12" ht="24.75" x14ac:dyDescent="0.25">
      <c r="A95" s="6" t="s">
        <v>5770</v>
      </c>
      <c r="B95" s="3" t="s">
        <v>5771</v>
      </c>
      <c r="C95" s="4">
        <v>1</v>
      </c>
      <c r="D95" s="5">
        <v>64.989999999999995</v>
      </c>
      <c r="E95" s="4" t="s">
        <v>5772</v>
      </c>
      <c r="F95" s="3" t="s">
        <v>5532</v>
      </c>
      <c r="G95" s="7" t="s">
        <v>5764</v>
      </c>
      <c r="H95" s="3" t="s">
        <v>5722</v>
      </c>
      <c r="I95" s="3" t="s">
        <v>5773</v>
      </c>
      <c r="J95" s="3" t="s">
        <v>5536</v>
      </c>
      <c r="K95" s="3" t="s">
        <v>5774</v>
      </c>
      <c r="L95" s="8" t="str">
        <f>HYPERLINK("http://slimages.macys.com/is/image/MCY/14660852 ")</f>
        <v xml:space="preserve">http://slimages.macys.com/is/image/MCY/14660852 </v>
      </c>
    </row>
    <row r="96" spans="1:12" ht="24.75" x14ac:dyDescent="0.25">
      <c r="A96" s="6" t="s">
        <v>5775</v>
      </c>
      <c r="B96" s="3" t="s">
        <v>5771</v>
      </c>
      <c r="C96" s="4">
        <v>1</v>
      </c>
      <c r="D96" s="5">
        <v>64.989999999999995</v>
      </c>
      <c r="E96" s="4" t="s">
        <v>5772</v>
      </c>
      <c r="F96" s="3" t="s">
        <v>5532</v>
      </c>
      <c r="G96" s="7" t="s">
        <v>5766</v>
      </c>
      <c r="H96" s="3" t="s">
        <v>5722</v>
      </c>
      <c r="I96" s="3" t="s">
        <v>5773</v>
      </c>
      <c r="J96" s="3" t="s">
        <v>5536</v>
      </c>
      <c r="K96" s="3" t="s">
        <v>5774</v>
      </c>
      <c r="L96" s="8" t="str">
        <f>HYPERLINK("http://slimages.macys.com/is/image/MCY/14660852 ")</f>
        <v xml:space="preserve">http://slimages.macys.com/is/image/MCY/14660852 </v>
      </c>
    </row>
    <row r="97" spans="1:12" ht="24.75" x14ac:dyDescent="0.25">
      <c r="A97" s="6" t="s">
        <v>5776</v>
      </c>
      <c r="B97" s="3" t="s">
        <v>5752</v>
      </c>
      <c r="C97" s="4">
        <v>1</v>
      </c>
      <c r="D97" s="5">
        <v>64.989999999999995</v>
      </c>
      <c r="E97" s="4" t="s">
        <v>5753</v>
      </c>
      <c r="F97" s="3" t="s">
        <v>5754</v>
      </c>
      <c r="G97" s="7" t="s">
        <v>5777</v>
      </c>
      <c r="H97" s="3" t="s">
        <v>5722</v>
      </c>
      <c r="I97" s="3" t="s">
        <v>5756</v>
      </c>
      <c r="J97" s="3" t="s">
        <v>5536</v>
      </c>
      <c r="K97" s="3" t="s">
        <v>5549</v>
      </c>
      <c r="L97" s="8" t="str">
        <f>HYPERLINK("http://slimages.macys.com/is/image/MCY/8823845 ")</f>
        <v xml:space="preserve">http://slimages.macys.com/is/image/MCY/8823845 </v>
      </c>
    </row>
    <row r="98" spans="1:12" ht="24.75" x14ac:dyDescent="0.25">
      <c r="A98" s="6" t="s">
        <v>5778</v>
      </c>
      <c r="B98" s="3" t="s">
        <v>5758</v>
      </c>
      <c r="C98" s="4">
        <v>1</v>
      </c>
      <c r="D98" s="5">
        <v>64.989999999999995</v>
      </c>
      <c r="E98" s="4" t="s">
        <v>5759</v>
      </c>
      <c r="F98" s="3" t="s">
        <v>5754</v>
      </c>
      <c r="G98" s="7" t="s">
        <v>5779</v>
      </c>
      <c r="H98" s="3" t="s">
        <v>5722</v>
      </c>
      <c r="I98" s="3" t="s">
        <v>5756</v>
      </c>
      <c r="J98" s="3" t="s">
        <v>5536</v>
      </c>
      <c r="K98" s="3" t="s">
        <v>5594</v>
      </c>
      <c r="L98" s="8" t="str">
        <f>HYPERLINK("http://slimages.macys.com/is/image/MCY/3974531 ")</f>
        <v xml:space="preserve">http://slimages.macys.com/is/image/MCY/3974531 </v>
      </c>
    </row>
    <row r="99" spans="1:12" ht="24.75" x14ac:dyDescent="0.25">
      <c r="A99" s="6" t="s">
        <v>5780</v>
      </c>
      <c r="B99" s="3" t="s">
        <v>5781</v>
      </c>
      <c r="C99" s="4">
        <v>1</v>
      </c>
      <c r="D99" s="5">
        <v>64.989999999999995</v>
      </c>
      <c r="E99" s="4" t="s">
        <v>5782</v>
      </c>
      <c r="F99" s="3" t="s">
        <v>5783</v>
      </c>
      <c r="G99" s="7"/>
      <c r="H99" s="3" t="s">
        <v>5722</v>
      </c>
      <c r="I99" s="3" t="s">
        <v>5773</v>
      </c>
      <c r="J99" s="3" t="s">
        <v>5536</v>
      </c>
      <c r="K99" s="3" t="s">
        <v>5784</v>
      </c>
      <c r="L99" s="8" t="str">
        <f>HYPERLINK("http://slimages.macys.com/is/image/MCY/14441803 ")</f>
        <v xml:space="preserve">http://slimages.macys.com/is/image/MCY/14441803 </v>
      </c>
    </row>
    <row r="100" spans="1:12" ht="24.75" x14ac:dyDescent="0.25">
      <c r="A100" s="6" t="s">
        <v>5785</v>
      </c>
      <c r="B100" s="3" t="s">
        <v>5752</v>
      </c>
      <c r="C100" s="4">
        <v>1</v>
      </c>
      <c r="D100" s="5">
        <v>64.989999999999995</v>
      </c>
      <c r="E100" s="4" t="s">
        <v>5753</v>
      </c>
      <c r="F100" s="3" t="s">
        <v>5754</v>
      </c>
      <c r="G100" s="7" t="s">
        <v>5760</v>
      </c>
      <c r="H100" s="3" t="s">
        <v>5722</v>
      </c>
      <c r="I100" s="3" t="s">
        <v>5756</v>
      </c>
      <c r="J100" s="3" t="s">
        <v>5536</v>
      </c>
      <c r="K100" s="3" t="s">
        <v>5549</v>
      </c>
      <c r="L100" s="8" t="str">
        <f>HYPERLINK("http://slimages.macys.com/is/image/MCY/8823845 ")</f>
        <v xml:space="preserve">http://slimages.macys.com/is/image/MCY/8823845 </v>
      </c>
    </row>
    <row r="101" spans="1:12" ht="24.75" x14ac:dyDescent="0.25">
      <c r="A101" s="6" t="s">
        <v>5786</v>
      </c>
      <c r="B101" s="3" t="s">
        <v>5787</v>
      </c>
      <c r="C101" s="4">
        <v>2</v>
      </c>
      <c r="D101" s="5">
        <v>96.22</v>
      </c>
      <c r="E101" s="4">
        <v>115010194</v>
      </c>
      <c r="F101" s="3" t="s">
        <v>5532</v>
      </c>
      <c r="G101" s="7" t="s">
        <v>5788</v>
      </c>
      <c r="H101" s="3" t="s">
        <v>5789</v>
      </c>
      <c r="I101" s="3" t="s">
        <v>5607</v>
      </c>
      <c r="J101" s="3" t="s">
        <v>5536</v>
      </c>
      <c r="K101" s="3" t="s">
        <v>5553</v>
      </c>
      <c r="L101" s="8" t="str">
        <f>HYPERLINK("http://slimages.macys.com/is/image/MCY/13586653 ")</f>
        <v xml:space="preserve">http://slimages.macys.com/is/image/MCY/13586653 </v>
      </c>
    </row>
    <row r="102" spans="1:12" ht="24.75" x14ac:dyDescent="0.25">
      <c r="A102" s="6" t="s">
        <v>5790</v>
      </c>
      <c r="B102" s="3" t="s">
        <v>5791</v>
      </c>
      <c r="C102" s="4">
        <v>1</v>
      </c>
      <c r="D102" s="5">
        <v>59.5</v>
      </c>
      <c r="E102" s="4" t="s">
        <v>5792</v>
      </c>
      <c r="F102" s="3" t="s">
        <v>5793</v>
      </c>
      <c r="G102" s="7" t="s">
        <v>5596</v>
      </c>
      <c r="H102" s="3" t="s">
        <v>5794</v>
      </c>
      <c r="I102" s="3" t="s">
        <v>5795</v>
      </c>
      <c r="J102" s="3" t="s">
        <v>5536</v>
      </c>
      <c r="K102" s="3" t="s">
        <v>5594</v>
      </c>
      <c r="L102" s="8" t="str">
        <f>HYPERLINK("http://slimages.macys.com/is/image/MCY/15667561 ")</f>
        <v xml:space="preserve">http://slimages.macys.com/is/image/MCY/15667561 </v>
      </c>
    </row>
    <row r="103" spans="1:12" ht="24.75" x14ac:dyDescent="0.25">
      <c r="A103" s="6" t="s">
        <v>5796</v>
      </c>
      <c r="B103" s="3" t="s">
        <v>5797</v>
      </c>
      <c r="C103" s="4">
        <v>1</v>
      </c>
      <c r="D103" s="5">
        <v>49.99</v>
      </c>
      <c r="E103" s="4">
        <v>1272355</v>
      </c>
      <c r="F103" s="3" t="s">
        <v>5798</v>
      </c>
      <c r="G103" s="7" t="s">
        <v>5799</v>
      </c>
      <c r="H103" s="3" t="s">
        <v>5726</v>
      </c>
      <c r="I103" s="3" t="s">
        <v>5726</v>
      </c>
      <c r="J103" s="3" t="s">
        <v>5536</v>
      </c>
      <c r="K103" s="3" t="s">
        <v>5800</v>
      </c>
      <c r="L103" s="8" t="str">
        <f>HYPERLINK("http://slimages.macys.com/is/image/MCY/12462462 ")</f>
        <v xml:space="preserve">http://slimages.macys.com/is/image/MCY/12462462 </v>
      </c>
    </row>
    <row r="104" spans="1:12" ht="24.75" x14ac:dyDescent="0.25">
      <c r="A104" s="6" t="s">
        <v>5801</v>
      </c>
      <c r="B104" s="3" t="s">
        <v>5797</v>
      </c>
      <c r="C104" s="4">
        <v>1</v>
      </c>
      <c r="D104" s="5">
        <v>49.99</v>
      </c>
      <c r="E104" s="4">
        <v>1272355</v>
      </c>
      <c r="F104" s="3" t="s">
        <v>5578</v>
      </c>
      <c r="G104" s="7" t="s">
        <v>5799</v>
      </c>
      <c r="H104" s="3" t="s">
        <v>5726</v>
      </c>
      <c r="I104" s="3" t="s">
        <v>5726</v>
      </c>
      <c r="J104" s="3" t="s">
        <v>5536</v>
      </c>
      <c r="K104" s="3" t="s">
        <v>5800</v>
      </c>
      <c r="L104" s="8" t="str">
        <f>HYPERLINK("http://slimages.macys.com/is/image/MCY/12462462 ")</f>
        <v xml:space="preserve">http://slimages.macys.com/is/image/MCY/12462462 </v>
      </c>
    </row>
    <row r="105" spans="1:12" ht="24.75" x14ac:dyDescent="0.25">
      <c r="A105" s="6" t="s">
        <v>5802</v>
      </c>
      <c r="B105" s="3" t="s">
        <v>5797</v>
      </c>
      <c r="C105" s="4">
        <v>1</v>
      </c>
      <c r="D105" s="5">
        <v>49.99</v>
      </c>
      <c r="E105" s="4">
        <v>1272355</v>
      </c>
      <c r="F105" s="3" t="s">
        <v>5803</v>
      </c>
      <c r="G105" s="7" t="s">
        <v>5799</v>
      </c>
      <c r="H105" s="3" t="s">
        <v>5726</v>
      </c>
      <c r="I105" s="3" t="s">
        <v>5726</v>
      </c>
      <c r="J105" s="3" t="s">
        <v>5536</v>
      </c>
      <c r="K105" s="3" t="s">
        <v>5800</v>
      </c>
      <c r="L105" s="8" t="str">
        <f>HYPERLINK("http://slimages.macys.com/is/image/MCY/12462462 ")</f>
        <v xml:space="preserve">http://slimages.macys.com/is/image/MCY/12462462 </v>
      </c>
    </row>
    <row r="106" spans="1:12" ht="24.75" x14ac:dyDescent="0.25">
      <c r="A106" s="6" t="s">
        <v>5804</v>
      </c>
      <c r="B106" s="3" t="s">
        <v>5797</v>
      </c>
      <c r="C106" s="4">
        <v>1</v>
      </c>
      <c r="D106" s="5">
        <v>49.99</v>
      </c>
      <c r="E106" s="4">
        <v>1272355</v>
      </c>
      <c r="F106" s="3" t="s">
        <v>5540</v>
      </c>
      <c r="G106" s="7" t="s">
        <v>5799</v>
      </c>
      <c r="H106" s="3" t="s">
        <v>5726</v>
      </c>
      <c r="I106" s="3" t="s">
        <v>5726</v>
      </c>
      <c r="J106" s="3" t="s">
        <v>5536</v>
      </c>
      <c r="K106" s="3" t="s">
        <v>5800</v>
      </c>
      <c r="L106" s="8" t="str">
        <f>HYPERLINK("http://slimages.macys.com/is/image/MCY/12462462 ")</f>
        <v xml:space="preserve">http://slimages.macys.com/is/image/MCY/12462462 </v>
      </c>
    </row>
    <row r="107" spans="1:12" ht="24.75" x14ac:dyDescent="0.25">
      <c r="A107" s="6" t="s">
        <v>5805</v>
      </c>
      <c r="B107" s="3" t="s">
        <v>5806</v>
      </c>
      <c r="C107" s="4">
        <v>1</v>
      </c>
      <c r="D107" s="5">
        <v>49.99</v>
      </c>
      <c r="E107" s="4">
        <v>447150818</v>
      </c>
      <c r="F107" s="3" t="s">
        <v>5532</v>
      </c>
      <c r="G107" s="7" t="s">
        <v>5662</v>
      </c>
      <c r="H107" s="3" t="s">
        <v>5807</v>
      </c>
      <c r="I107" s="3" t="s">
        <v>5808</v>
      </c>
      <c r="J107" s="3" t="s">
        <v>5536</v>
      </c>
      <c r="K107" s="3" t="s">
        <v>5641</v>
      </c>
      <c r="L107" s="8" t="str">
        <f>HYPERLINK("http://slimages.macys.com/is/image/MCY/10629705 ")</f>
        <v xml:space="preserve">http://slimages.macys.com/is/image/MCY/10629705 </v>
      </c>
    </row>
    <row r="108" spans="1:12" ht="24.75" x14ac:dyDescent="0.25">
      <c r="A108" s="6" t="s">
        <v>5809</v>
      </c>
      <c r="B108" s="3" t="s">
        <v>5810</v>
      </c>
      <c r="C108" s="4">
        <v>1</v>
      </c>
      <c r="D108" s="5">
        <v>69.5</v>
      </c>
      <c r="E108" s="4">
        <v>100038288</v>
      </c>
      <c r="F108" s="3" t="s">
        <v>5811</v>
      </c>
      <c r="G108" s="7" t="s">
        <v>5682</v>
      </c>
      <c r="H108" s="3" t="s">
        <v>5585</v>
      </c>
      <c r="I108" s="3" t="s">
        <v>5586</v>
      </c>
      <c r="J108" s="3" t="s">
        <v>5536</v>
      </c>
      <c r="K108" s="3" t="s">
        <v>5727</v>
      </c>
      <c r="L108" s="8" t="str">
        <f>HYPERLINK("http://slimages.macys.com/is/image/MCY/11231691 ")</f>
        <v xml:space="preserve">http://slimages.macys.com/is/image/MCY/11231691 </v>
      </c>
    </row>
    <row r="109" spans="1:12" ht="24.75" x14ac:dyDescent="0.25">
      <c r="A109" s="6" t="s">
        <v>5812</v>
      </c>
      <c r="B109" s="3" t="s">
        <v>5813</v>
      </c>
      <c r="C109" s="4">
        <v>1</v>
      </c>
      <c r="D109" s="5">
        <v>57.99</v>
      </c>
      <c r="E109" s="4" t="s">
        <v>5814</v>
      </c>
      <c r="F109" s="3" t="s">
        <v>5815</v>
      </c>
      <c r="G109" s="7" t="s">
        <v>5816</v>
      </c>
      <c r="H109" s="3" t="s">
        <v>5722</v>
      </c>
      <c r="I109" s="3" t="s">
        <v>5773</v>
      </c>
      <c r="J109" s="3" t="s">
        <v>5536</v>
      </c>
      <c r="K109" s="3" t="s">
        <v>5558</v>
      </c>
      <c r="L109" s="8" t="str">
        <f>HYPERLINK("http://slimages.macys.com/is/image/MCY/8837853 ")</f>
        <v xml:space="preserve">http://slimages.macys.com/is/image/MCY/8837853 </v>
      </c>
    </row>
    <row r="110" spans="1:12" ht="24.75" x14ac:dyDescent="0.25">
      <c r="A110" s="6" t="s">
        <v>5817</v>
      </c>
      <c r="B110" s="3" t="s">
        <v>5818</v>
      </c>
      <c r="C110" s="4">
        <v>1</v>
      </c>
      <c r="D110" s="5">
        <v>69.989999999999995</v>
      </c>
      <c r="E110" s="4" t="s">
        <v>5819</v>
      </c>
      <c r="F110" s="3" t="s">
        <v>5820</v>
      </c>
      <c r="G110" s="7" t="s">
        <v>5760</v>
      </c>
      <c r="H110" s="3" t="s">
        <v>5722</v>
      </c>
      <c r="I110" s="3" t="s">
        <v>5756</v>
      </c>
      <c r="J110" s="3" t="s">
        <v>5536</v>
      </c>
      <c r="K110" s="3" t="s">
        <v>5641</v>
      </c>
      <c r="L110" s="8" t="str">
        <f>HYPERLINK("http://slimages.macys.com/is/image/MCY/14800616 ")</f>
        <v xml:space="preserve">http://slimages.macys.com/is/image/MCY/14800616 </v>
      </c>
    </row>
    <row r="111" spans="1:12" ht="24.75" x14ac:dyDescent="0.25">
      <c r="A111" s="6" t="s">
        <v>5821</v>
      </c>
      <c r="B111" s="3" t="s">
        <v>5822</v>
      </c>
      <c r="C111" s="4">
        <v>1</v>
      </c>
      <c r="D111" s="5">
        <v>23</v>
      </c>
      <c r="E111" s="4" t="s">
        <v>5823</v>
      </c>
      <c r="F111" s="3" t="s">
        <v>5532</v>
      </c>
      <c r="G111" s="7" t="s">
        <v>5824</v>
      </c>
      <c r="H111" s="3" t="s">
        <v>5825</v>
      </c>
      <c r="I111" s="3" t="s">
        <v>5826</v>
      </c>
      <c r="J111" s="3" t="s">
        <v>5536</v>
      </c>
      <c r="K111" s="3" t="s">
        <v>5549</v>
      </c>
      <c r="L111" s="8" t="str">
        <f t="shared" ref="L111:L118" si="0">HYPERLINK("http://slimages.macys.com/is/image/MCY/16268498 ")</f>
        <v xml:space="preserve">http://slimages.macys.com/is/image/MCY/16268498 </v>
      </c>
    </row>
    <row r="112" spans="1:12" ht="24.75" x14ac:dyDescent="0.25">
      <c r="A112" s="6" t="s">
        <v>5827</v>
      </c>
      <c r="B112" s="3" t="s">
        <v>5822</v>
      </c>
      <c r="C112" s="4">
        <v>1</v>
      </c>
      <c r="D112" s="5">
        <v>23</v>
      </c>
      <c r="E112" s="4" t="s">
        <v>5823</v>
      </c>
      <c r="F112" s="3" t="s">
        <v>5532</v>
      </c>
      <c r="G112" s="7" t="s">
        <v>5762</v>
      </c>
      <c r="H112" s="3" t="s">
        <v>5825</v>
      </c>
      <c r="I112" s="3" t="s">
        <v>5826</v>
      </c>
      <c r="J112" s="3" t="s">
        <v>5536</v>
      </c>
      <c r="K112" s="3" t="s">
        <v>5549</v>
      </c>
      <c r="L112" s="8" t="str">
        <f t="shared" si="0"/>
        <v xml:space="preserve">http://slimages.macys.com/is/image/MCY/16268498 </v>
      </c>
    </row>
    <row r="113" spans="1:12" ht="24.75" x14ac:dyDescent="0.25">
      <c r="A113" s="6" t="s">
        <v>5828</v>
      </c>
      <c r="B113" s="3" t="s">
        <v>5822</v>
      </c>
      <c r="C113" s="4">
        <v>1</v>
      </c>
      <c r="D113" s="5">
        <v>23</v>
      </c>
      <c r="E113" s="4" t="s">
        <v>5823</v>
      </c>
      <c r="F113" s="3" t="s">
        <v>5532</v>
      </c>
      <c r="G113" s="7" t="s">
        <v>5766</v>
      </c>
      <c r="H113" s="3" t="s">
        <v>5825</v>
      </c>
      <c r="I113" s="3" t="s">
        <v>5826</v>
      </c>
      <c r="J113" s="3" t="s">
        <v>5536</v>
      </c>
      <c r="K113" s="3" t="s">
        <v>5549</v>
      </c>
      <c r="L113" s="8" t="str">
        <f t="shared" si="0"/>
        <v xml:space="preserve">http://slimages.macys.com/is/image/MCY/16268498 </v>
      </c>
    </row>
    <row r="114" spans="1:12" ht="24.75" x14ac:dyDescent="0.25">
      <c r="A114" s="6" t="s">
        <v>5829</v>
      </c>
      <c r="B114" s="3" t="s">
        <v>5822</v>
      </c>
      <c r="C114" s="4">
        <v>2</v>
      </c>
      <c r="D114" s="5">
        <v>46</v>
      </c>
      <c r="E114" s="4" t="s">
        <v>5823</v>
      </c>
      <c r="F114" s="3" t="s">
        <v>5532</v>
      </c>
      <c r="G114" s="7" t="s">
        <v>5830</v>
      </c>
      <c r="H114" s="3" t="s">
        <v>5825</v>
      </c>
      <c r="I114" s="3" t="s">
        <v>5826</v>
      </c>
      <c r="J114" s="3" t="s">
        <v>5536</v>
      </c>
      <c r="K114" s="3" t="s">
        <v>5549</v>
      </c>
      <c r="L114" s="8" t="str">
        <f t="shared" si="0"/>
        <v xml:space="preserve">http://slimages.macys.com/is/image/MCY/16268498 </v>
      </c>
    </row>
    <row r="115" spans="1:12" ht="24.75" x14ac:dyDescent="0.25">
      <c r="A115" s="6" t="s">
        <v>5831</v>
      </c>
      <c r="B115" s="3" t="s">
        <v>5822</v>
      </c>
      <c r="C115" s="4">
        <v>2</v>
      </c>
      <c r="D115" s="5">
        <v>46</v>
      </c>
      <c r="E115" s="4" t="s">
        <v>5823</v>
      </c>
      <c r="F115" s="3" t="s">
        <v>5532</v>
      </c>
      <c r="G115" s="7" t="s">
        <v>5768</v>
      </c>
      <c r="H115" s="3" t="s">
        <v>5825</v>
      </c>
      <c r="I115" s="3" t="s">
        <v>5826</v>
      </c>
      <c r="J115" s="3" t="s">
        <v>5536</v>
      </c>
      <c r="K115" s="3" t="s">
        <v>5549</v>
      </c>
      <c r="L115" s="8" t="str">
        <f t="shared" si="0"/>
        <v xml:space="preserve">http://slimages.macys.com/is/image/MCY/16268498 </v>
      </c>
    </row>
    <row r="116" spans="1:12" ht="24.75" x14ac:dyDescent="0.25">
      <c r="A116" s="6" t="s">
        <v>5832</v>
      </c>
      <c r="B116" s="3" t="s">
        <v>5822</v>
      </c>
      <c r="C116" s="4">
        <v>1</v>
      </c>
      <c r="D116" s="5">
        <v>23</v>
      </c>
      <c r="E116" s="4" t="s">
        <v>5823</v>
      </c>
      <c r="F116" s="3" t="s">
        <v>5532</v>
      </c>
      <c r="G116" s="7" t="s">
        <v>5777</v>
      </c>
      <c r="H116" s="3" t="s">
        <v>5825</v>
      </c>
      <c r="I116" s="3" t="s">
        <v>5826</v>
      </c>
      <c r="J116" s="3" t="s">
        <v>5536</v>
      </c>
      <c r="K116" s="3" t="s">
        <v>5549</v>
      </c>
      <c r="L116" s="8" t="str">
        <f t="shared" si="0"/>
        <v xml:space="preserve">http://slimages.macys.com/is/image/MCY/16268498 </v>
      </c>
    </row>
    <row r="117" spans="1:12" ht="24.75" x14ac:dyDescent="0.25">
      <c r="A117" s="6" t="s">
        <v>5833</v>
      </c>
      <c r="B117" s="3" t="s">
        <v>5822</v>
      </c>
      <c r="C117" s="4">
        <v>1</v>
      </c>
      <c r="D117" s="5">
        <v>23</v>
      </c>
      <c r="E117" s="4" t="s">
        <v>5823</v>
      </c>
      <c r="F117" s="3" t="s">
        <v>5532</v>
      </c>
      <c r="G117" s="7" t="s">
        <v>5764</v>
      </c>
      <c r="H117" s="3" t="s">
        <v>5825</v>
      </c>
      <c r="I117" s="3" t="s">
        <v>5826</v>
      </c>
      <c r="J117" s="3" t="s">
        <v>5536</v>
      </c>
      <c r="K117" s="3" t="s">
        <v>5549</v>
      </c>
      <c r="L117" s="8" t="str">
        <f t="shared" si="0"/>
        <v xml:space="preserve">http://slimages.macys.com/is/image/MCY/16268498 </v>
      </c>
    </row>
    <row r="118" spans="1:12" ht="24.75" x14ac:dyDescent="0.25">
      <c r="A118" s="6" t="s">
        <v>5834</v>
      </c>
      <c r="B118" s="3" t="s">
        <v>5822</v>
      </c>
      <c r="C118" s="4">
        <v>1</v>
      </c>
      <c r="D118" s="5">
        <v>23</v>
      </c>
      <c r="E118" s="4" t="s">
        <v>5823</v>
      </c>
      <c r="F118" s="3" t="s">
        <v>5532</v>
      </c>
      <c r="G118" s="7" t="s">
        <v>5835</v>
      </c>
      <c r="H118" s="3" t="s">
        <v>5825</v>
      </c>
      <c r="I118" s="3" t="s">
        <v>5826</v>
      </c>
      <c r="J118" s="3" t="s">
        <v>5536</v>
      </c>
      <c r="K118" s="3" t="s">
        <v>5549</v>
      </c>
      <c r="L118" s="8" t="str">
        <f t="shared" si="0"/>
        <v xml:space="preserve">http://slimages.macys.com/is/image/MCY/16268498 </v>
      </c>
    </row>
    <row r="119" spans="1:12" x14ac:dyDescent="0.25">
      <c r="A119" s="6" t="s">
        <v>5836</v>
      </c>
      <c r="B119" s="3" t="s">
        <v>5837</v>
      </c>
      <c r="C119" s="4">
        <v>1</v>
      </c>
      <c r="D119" s="5">
        <v>34.99</v>
      </c>
      <c r="E119" s="4">
        <v>232510006</v>
      </c>
      <c r="F119" s="3" t="s">
        <v>5540</v>
      </c>
      <c r="G119" s="7" t="s">
        <v>5838</v>
      </c>
      <c r="H119" s="3" t="s">
        <v>5606</v>
      </c>
      <c r="I119" s="3" t="s">
        <v>5607</v>
      </c>
      <c r="J119" s="3" t="s">
        <v>5536</v>
      </c>
      <c r="K119" s="3" t="s">
        <v>5594</v>
      </c>
      <c r="L119" s="8" t="str">
        <f>HYPERLINK("http://slimages.macys.com/is/image/MCY/3266708 ")</f>
        <v xml:space="preserve">http://slimages.macys.com/is/image/MCY/3266708 </v>
      </c>
    </row>
    <row r="120" spans="1:12" ht="24.75" x14ac:dyDescent="0.25">
      <c r="A120" s="6" t="s">
        <v>5839</v>
      </c>
      <c r="B120" s="3" t="s">
        <v>5840</v>
      </c>
      <c r="C120" s="4">
        <v>4</v>
      </c>
      <c r="D120" s="5">
        <v>237.52</v>
      </c>
      <c r="E120" s="4" t="s">
        <v>5841</v>
      </c>
      <c r="F120" s="3" t="s">
        <v>5540</v>
      </c>
      <c r="G120" s="7" t="s">
        <v>5596</v>
      </c>
      <c r="H120" s="3" t="s">
        <v>5842</v>
      </c>
      <c r="I120" s="3" t="s">
        <v>5843</v>
      </c>
      <c r="J120" s="3" t="s">
        <v>5536</v>
      </c>
      <c r="K120" s="3" t="s">
        <v>5844</v>
      </c>
      <c r="L120" s="8" t="str">
        <f>HYPERLINK("http://slimages.macys.com/is/image/MCY/14506290 ")</f>
        <v xml:space="preserve">http://slimages.macys.com/is/image/MCY/14506290 </v>
      </c>
    </row>
    <row r="121" spans="1:12" ht="24.75" x14ac:dyDescent="0.25">
      <c r="A121" s="6" t="s">
        <v>5845</v>
      </c>
      <c r="B121" s="3" t="s">
        <v>5840</v>
      </c>
      <c r="C121" s="4">
        <v>3</v>
      </c>
      <c r="D121" s="5">
        <v>178.14</v>
      </c>
      <c r="E121" s="4" t="s">
        <v>5841</v>
      </c>
      <c r="F121" s="3" t="s">
        <v>5540</v>
      </c>
      <c r="G121" s="7" t="s">
        <v>5562</v>
      </c>
      <c r="H121" s="3" t="s">
        <v>5842</v>
      </c>
      <c r="I121" s="3" t="s">
        <v>5843</v>
      </c>
      <c r="J121" s="3" t="s">
        <v>5536</v>
      </c>
      <c r="K121" s="3" t="s">
        <v>5844</v>
      </c>
      <c r="L121" s="8" t="str">
        <f>HYPERLINK("http://slimages.macys.com/is/image/MCY/14506290 ")</f>
        <v xml:space="preserve">http://slimages.macys.com/is/image/MCY/14506290 </v>
      </c>
    </row>
    <row r="122" spans="1:12" ht="24.75" x14ac:dyDescent="0.25">
      <c r="A122" s="6" t="s">
        <v>5846</v>
      </c>
      <c r="B122" s="3" t="s">
        <v>5840</v>
      </c>
      <c r="C122" s="4">
        <v>2</v>
      </c>
      <c r="D122" s="5">
        <v>118.76</v>
      </c>
      <c r="E122" s="4" t="s">
        <v>5841</v>
      </c>
      <c r="F122" s="3" t="s">
        <v>5540</v>
      </c>
      <c r="G122" s="7" t="s">
        <v>5533</v>
      </c>
      <c r="H122" s="3" t="s">
        <v>5842</v>
      </c>
      <c r="I122" s="3" t="s">
        <v>5843</v>
      </c>
      <c r="J122" s="3" t="s">
        <v>5536</v>
      </c>
      <c r="K122" s="3" t="s">
        <v>5844</v>
      </c>
      <c r="L122" s="8" t="str">
        <f>HYPERLINK("http://slimages.macys.com/is/image/MCY/14506290 ")</f>
        <v xml:space="preserve">http://slimages.macys.com/is/image/MCY/14506290 </v>
      </c>
    </row>
    <row r="123" spans="1:12" ht="24.75" x14ac:dyDescent="0.25">
      <c r="A123" s="6" t="s">
        <v>5847</v>
      </c>
      <c r="B123" s="3" t="s">
        <v>5848</v>
      </c>
      <c r="C123" s="4">
        <v>1</v>
      </c>
      <c r="D123" s="5">
        <v>34.99</v>
      </c>
      <c r="E123" s="4">
        <v>232510003</v>
      </c>
      <c r="F123" s="3" t="s">
        <v>5849</v>
      </c>
      <c r="G123" s="7" t="s">
        <v>5850</v>
      </c>
      <c r="H123" s="3" t="s">
        <v>5606</v>
      </c>
      <c r="I123" s="3" t="s">
        <v>5607</v>
      </c>
      <c r="J123" s="3" t="s">
        <v>5536</v>
      </c>
      <c r="K123" s="3" t="s">
        <v>5594</v>
      </c>
      <c r="L123" s="8" t="str">
        <f>HYPERLINK("http://slimages.macys.com/is/image/MCY/3266708 ")</f>
        <v xml:space="preserve">http://slimages.macys.com/is/image/MCY/3266708 </v>
      </c>
    </row>
    <row r="124" spans="1:12" ht="24.75" x14ac:dyDescent="0.25">
      <c r="A124" s="6" t="s">
        <v>5851</v>
      </c>
      <c r="B124" s="3" t="s">
        <v>5848</v>
      </c>
      <c r="C124" s="4">
        <v>2</v>
      </c>
      <c r="D124" s="5">
        <v>69.98</v>
      </c>
      <c r="E124" s="4">
        <v>232510003</v>
      </c>
      <c r="F124" s="3" t="s">
        <v>5849</v>
      </c>
      <c r="G124" s="7" t="s">
        <v>5852</v>
      </c>
      <c r="H124" s="3" t="s">
        <v>5606</v>
      </c>
      <c r="I124" s="3" t="s">
        <v>5607</v>
      </c>
      <c r="J124" s="3" t="s">
        <v>5536</v>
      </c>
      <c r="K124" s="3" t="s">
        <v>5594</v>
      </c>
      <c r="L124" s="8" t="str">
        <f>HYPERLINK("http://slimages.macys.com/is/image/MCY/3266708 ")</f>
        <v xml:space="preserve">http://slimages.macys.com/is/image/MCY/3266708 </v>
      </c>
    </row>
    <row r="125" spans="1:12" ht="60.75" x14ac:dyDescent="0.25">
      <c r="A125" s="6" t="s">
        <v>5853</v>
      </c>
      <c r="B125" s="3" t="s">
        <v>5854</v>
      </c>
      <c r="C125" s="4">
        <v>1</v>
      </c>
      <c r="D125" s="5">
        <v>59.38</v>
      </c>
      <c r="E125" s="4" t="s">
        <v>5855</v>
      </c>
      <c r="F125" s="3" t="s">
        <v>5540</v>
      </c>
      <c r="G125" s="7" t="s">
        <v>5562</v>
      </c>
      <c r="H125" s="3" t="s">
        <v>5842</v>
      </c>
      <c r="I125" s="3" t="s">
        <v>5843</v>
      </c>
      <c r="J125" s="3" t="s">
        <v>5536</v>
      </c>
      <c r="K125" s="3" t="s">
        <v>5856</v>
      </c>
      <c r="L125" s="8" t="str">
        <f>HYPERLINK("http://slimages.macys.com/is/image/MCY/14506146 ")</f>
        <v xml:space="preserve">http://slimages.macys.com/is/image/MCY/14506146 </v>
      </c>
    </row>
    <row r="126" spans="1:12" ht="60.75" x14ac:dyDescent="0.25">
      <c r="A126" s="6" t="s">
        <v>5857</v>
      </c>
      <c r="B126" s="3" t="s">
        <v>5854</v>
      </c>
      <c r="C126" s="4">
        <v>1</v>
      </c>
      <c r="D126" s="5">
        <v>59.38</v>
      </c>
      <c r="E126" s="4" t="s">
        <v>5855</v>
      </c>
      <c r="F126" s="3" t="s">
        <v>5540</v>
      </c>
      <c r="G126" s="7" t="s">
        <v>5596</v>
      </c>
      <c r="H126" s="3" t="s">
        <v>5842</v>
      </c>
      <c r="I126" s="3" t="s">
        <v>5843</v>
      </c>
      <c r="J126" s="3" t="s">
        <v>5536</v>
      </c>
      <c r="K126" s="3" t="s">
        <v>5856</v>
      </c>
      <c r="L126" s="8" t="str">
        <f>HYPERLINK("http://slimages.macys.com/is/image/MCY/14506146 ")</f>
        <v xml:space="preserve">http://slimages.macys.com/is/image/MCY/14506146 </v>
      </c>
    </row>
    <row r="127" spans="1:12" ht="24.75" x14ac:dyDescent="0.25">
      <c r="A127" s="6" t="s">
        <v>5858</v>
      </c>
      <c r="B127" s="3" t="s">
        <v>5859</v>
      </c>
      <c r="C127" s="4">
        <v>1</v>
      </c>
      <c r="D127" s="5">
        <v>53</v>
      </c>
      <c r="E127" s="4" t="s">
        <v>5860</v>
      </c>
      <c r="F127" s="3" t="s">
        <v>5661</v>
      </c>
      <c r="G127" s="7" t="s">
        <v>5861</v>
      </c>
      <c r="H127" s="3" t="s">
        <v>5862</v>
      </c>
      <c r="I127" s="3" t="s">
        <v>5863</v>
      </c>
      <c r="J127" s="3" t="s">
        <v>5536</v>
      </c>
      <c r="K127" s="3" t="s">
        <v>5864</v>
      </c>
      <c r="L127" s="8" t="str">
        <f>HYPERLINK("http://slimages.macys.com/is/image/MCY/9835967 ")</f>
        <v xml:space="preserve">http://slimages.macys.com/is/image/MCY/9835967 </v>
      </c>
    </row>
    <row r="128" spans="1:12" ht="24.75" x14ac:dyDescent="0.25">
      <c r="A128" s="6" t="s">
        <v>5865</v>
      </c>
      <c r="B128" s="3" t="s">
        <v>5866</v>
      </c>
      <c r="C128" s="4">
        <v>1</v>
      </c>
      <c r="D128" s="5">
        <v>39</v>
      </c>
      <c r="E128" s="4" t="s">
        <v>5867</v>
      </c>
      <c r="F128" s="3" t="s">
        <v>5625</v>
      </c>
      <c r="G128" s="7" t="s">
        <v>5596</v>
      </c>
      <c r="H128" s="3" t="s">
        <v>5868</v>
      </c>
      <c r="I128" s="3" t="s">
        <v>5869</v>
      </c>
      <c r="J128" s="3" t="s">
        <v>5536</v>
      </c>
      <c r="K128" s="3" t="s">
        <v>5549</v>
      </c>
      <c r="L128" s="8" t="str">
        <f>HYPERLINK("http://slimages.macys.com/is/image/MCY/15735381 ")</f>
        <v xml:space="preserve">http://slimages.macys.com/is/image/MCY/15735381 </v>
      </c>
    </row>
    <row r="129" spans="1:12" ht="24.75" x14ac:dyDescent="0.25">
      <c r="A129" s="6" t="s">
        <v>5870</v>
      </c>
      <c r="B129" s="3" t="s">
        <v>5871</v>
      </c>
      <c r="C129" s="4">
        <v>1</v>
      </c>
      <c r="D129" s="5">
        <v>39</v>
      </c>
      <c r="E129" s="4" t="s">
        <v>5872</v>
      </c>
      <c r="F129" s="3" t="s">
        <v>5783</v>
      </c>
      <c r="G129" s="7" t="s">
        <v>5596</v>
      </c>
      <c r="H129" s="3" t="s">
        <v>5868</v>
      </c>
      <c r="I129" s="3" t="s">
        <v>5869</v>
      </c>
      <c r="J129" s="3" t="s">
        <v>5536</v>
      </c>
      <c r="K129" s="3" t="s">
        <v>5549</v>
      </c>
      <c r="L129" s="8" t="str">
        <f>HYPERLINK("http://slimages.macys.com/is/image/MCY/16399958 ")</f>
        <v xml:space="preserve">http://slimages.macys.com/is/image/MCY/16399958 </v>
      </c>
    </row>
    <row r="130" spans="1:12" ht="24.75" x14ac:dyDescent="0.25">
      <c r="A130" s="6" t="s">
        <v>5873</v>
      </c>
      <c r="B130" s="3" t="s">
        <v>5871</v>
      </c>
      <c r="C130" s="4">
        <v>1</v>
      </c>
      <c r="D130" s="5">
        <v>39</v>
      </c>
      <c r="E130" s="4" t="s">
        <v>5872</v>
      </c>
      <c r="F130" s="3" t="s">
        <v>5783</v>
      </c>
      <c r="G130" s="7" t="s">
        <v>5562</v>
      </c>
      <c r="H130" s="3" t="s">
        <v>5868</v>
      </c>
      <c r="I130" s="3" t="s">
        <v>5869</v>
      </c>
      <c r="J130" s="3" t="s">
        <v>5536</v>
      </c>
      <c r="K130" s="3" t="s">
        <v>5549</v>
      </c>
      <c r="L130" s="8" t="str">
        <f>HYPERLINK("http://slimages.macys.com/is/image/MCY/16399958 ")</f>
        <v xml:space="preserve">http://slimages.macys.com/is/image/MCY/16399958 </v>
      </c>
    </row>
    <row r="131" spans="1:12" ht="24.75" x14ac:dyDescent="0.25">
      <c r="A131" s="6" t="s">
        <v>5874</v>
      </c>
      <c r="B131" s="3" t="s">
        <v>5875</v>
      </c>
      <c r="C131" s="4">
        <v>1</v>
      </c>
      <c r="D131" s="5">
        <v>54.99</v>
      </c>
      <c r="E131" s="4" t="s">
        <v>5876</v>
      </c>
      <c r="F131" s="3" t="s">
        <v>5540</v>
      </c>
      <c r="G131" s="7" t="s">
        <v>5560</v>
      </c>
      <c r="H131" s="3" t="s">
        <v>5877</v>
      </c>
      <c r="I131" s="3" t="s">
        <v>5878</v>
      </c>
      <c r="J131" s="3" t="s">
        <v>5536</v>
      </c>
      <c r="K131" s="3" t="s">
        <v>5879</v>
      </c>
      <c r="L131" s="8" t="str">
        <f>HYPERLINK("http://slimages.macys.com/is/image/MCY/14716052 ")</f>
        <v xml:space="preserve">http://slimages.macys.com/is/image/MCY/14716052 </v>
      </c>
    </row>
    <row r="132" spans="1:12" ht="24.75" x14ac:dyDescent="0.25">
      <c r="A132" s="6" t="s">
        <v>5880</v>
      </c>
      <c r="B132" s="3" t="s">
        <v>5881</v>
      </c>
      <c r="C132" s="4">
        <v>1</v>
      </c>
      <c r="D132" s="5">
        <v>49.99</v>
      </c>
      <c r="E132" s="4" t="s">
        <v>5882</v>
      </c>
      <c r="F132" s="3" t="s">
        <v>5546</v>
      </c>
      <c r="G132" s="7" t="s">
        <v>5596</v>
      </c>
      <c r="H132" s="3" t="s">
        <v>5877</v>
      </c>
      <c r="I132" s="3" t="s">
        <v>5878</v>
      </c>
      <c r="J132" s="3" t="s">
        <v>5536</v>
      </c>
      <c r="K132" s="3" t="s">
        <v>5883</v>
      </c>
      <c r="L132" s="8" t="str">
        <f>HYPERLINK("http://slimages.macys.com/is/image/MCY/15847310 ")</f>
        <v xml:space="preserve">http://slimages.macys.com/is/image/MCY/15847310 </v>
      </c>
    </row>
    <row r="133" spans="1:12" ht="24.75" x14ac:dyDescent="0.25">
      <c r="A133" s="6" t="s">
        <v>5884</v>
      </c>
      <c r="B133" s="3" t="s">
        <v>5885</v>
      </c>
      <c r="C133" s="4">
        <v>1</v>
      </c>
      <c r="D133" s="5">
        <v>54.99</v>
      </c>
      <c r="E133" s="4" t="s">
        <v>5886</v>
      </c>
      <c r="F133" s="3" t="s">
        <v>5887</v>
      </c>
      <c r="G133" s="7" t="s">
        <v>5560</v>
      </c>
      <c r="H133" s="3" t="s">
        <v>5877</v>
      </c>
      <c r="I133" s="3" t="s">
        <v>5878</v>
      </c>
      <c r="J133" s="3" t="s">
        <v>5536</v>
      </c>
      <c r="K133" s="3" t="s">
        <v>5888</v>
      </c>
      <c r="L133" s="8" t="str">
        <f>HYPERLINK("http://slimages.macys.com/is/image/MCY/14824533 ")</f>
        <v xml:space="preserve">http://slimages.macys.com/is/image/MCY/14824533 </v>
      </c>
    </row>
    <row r="134" spans="1:12" ht="24.75" x14ac:dyDescent="0.25">
      <c r="A134" s="6" t="s">
        <v>5889</v>
      </c>
      <c r="B134" s="3" t="s">
        <v>5890</v>
      </c>
      <c r="C134" s="4">
        <v>1</v>
      </c>
      <c r="D134" s="5">
        <v>48.99</v>
      </c>
      <c r="E134" s="4" t="s">
        <v>5891</v>
      </c>
      <c r="F134" s="3" t="s">
        <v>5604</v>
      </c>
      <c r="G134" s="7" t="s">
        <v>5707</v>
      </c>
      <c r="H134" s="3" t="s">
        <v>5892</v>
      </c>
      <c r="I134" s="3" t="s">
        <v>5893</v>
      </c>
      <c r="J134" s="3" t="s">
        <v>5536</v>
      </c>
      <c r="K134" s="3" t="s">
        <v>5894</v>
      </c>
      <c r="L134" s="8" t="str">
        <f>HYPERLINK("http://slimages.macys.com/is/image/MCY/15176347 ")</f>
        <v xml:space="preserve">http://slimages.macys.com/is/image/MCY/15176347 </v>
      </c>
    </row>
    <row r="135" spans="1:12" ht="24.75" x14ac:dyDescent="0.25">
      <c r="A135" s="6" t="s">
        <v>5895</v>
      </c>
      <c r="B135" s="3" t="s">
        <v>5896</v>
      </c>
      <c r="C135" s="4">
        <v>1</v>
      </c>
      <c r="D135" s="5">
        <v>47.99</v>
      </c>
      <c r="E135" s="4" t="s">
        <v>5897</v>
      </c>
      <c r="F135" s="3" t="s">
        <v>5540</v>
      </c>
      <c r="G135" s="7" t="s">
        <v>5898</v>
      </c>
      <c r="H135" s="3" t="s">
        <v>5899</v>
      </c>
      <c r="I135" s="3" t="s">
        <v>5900</v>
      </c>
      <c r="J135" s="3" t="s">
        <v>5536</v>
      </c>
      <c r="K135" s="3" t="s">
        <v>5727</v>
      </c>
      <c r="L135" s="8" t="str">
        <f>HYPERLINK("http://slimages.macys.com/is/image/MCY/962571 ")</f>
        <v xml:space="preserve">http://slimages.macys.com/is/image/MCY/962571 </v>
      </c>
    </row>
    <row r="136" spans="1:12" ht="36.75" x14ac:dyDescent="0.25">
      <c r="A136" s="6" t="s">
        <v>5901</v>
      </c>
      <c r="B136" s="3" t="s">
        <v>5902</v>
      </c>
      <c r="C136" s="4">
        <v>1</v>
      </c>
      <c r="D136" s="5">
        <v>54</v>
      </c>
      <c r="E136" s="4" t="s">
        <v>5903</v>
      </c>
      <c r="F136" s="3" t="s">
        <v>5540</v>
      </c>
      <c r="G136" s="7" t="s">
        <v>5562</v>
      </c>
      <c r="H136" s="3" t="s">
        <v>5842</v>
      </c>
      <c r="I136" s="3" t="s">
        <v>5904</v>
      </c>
      <c r="J136" s="3" t="s">
        <v>5536</v>
      </c>
      <c r="K136" s="3" t="s">
        <v>5905</v>
      </c>
      <c r="L136" s="8" t="str">
        <f>HYPERLINK("http://slimages.macys.com/is/image/MCY/14618778 ")</f>
        <v xml:space="preserve">http://slimages.macys.com/is/image/MCY/14618778 </v>
      </c>
    </row>
    <row r="137" spans="1:12" ht="36.75" x14ac:dyDescent="0.25">
      <c r="A137" s="6" t="s">
        <v>5906</v>
      </c>
      <c r="B137" s="3" t="s">
        <v>5902</v>
      </c>
      <c r="C137" s="4">
        <v>1</v>
      </c>
      <c r="D137" s="5">
        <v>54</v>
      </c>
      <c r="E137" s="4" t="s">
        <v>5903</v>
      </c>
      <c r="F137" s="3" t="s">
        <v>5540</v>
      </c>
      <c r="G137" s="7" t="s">
        <v>5596</v>
      </c>
      <c r="H137" s="3" t="s">
        <v>5842</v>
      </c>
      <c r="I137" s="3" t="s">
        <v>5904</v>
      </c>
      <c r="J137" s="3" t="s">
        <v>5536</v>
      </c>
      <c r="K137" s="3" t="s">
        <v>5905</v>
      </c>
      <c r="L137" s="8" t="str">
        <f>HYPERLINK("http://slimages.macys.com/is/image/MCY/14618778 ")</f>
        <v xml:space="preserve">http://slimages.macys.com/is/image/MCY/14618778 </v>
      </c>
    </row>
    <row r="138" spans="1:12" x14ac:dyDescent="0.25">
      <c r="A138" s="6" t="s">
        <v>5907</v>
      </c>
      <c r="B138" s="3" t="s">
        <v>5908</v>
      </c>
      <c r="C138" s="4">
        <v>1</v>
      </c>
      <c r="D138" s="5">
        <v>75</v>
      </c>
      <c r="E138" s="4">
        <v>100075470</v>
      </c>
      <c r="F138" s="3" t="s">
        <v>5540</v>
      </c>
      <c r="G138" s="7" t="s">
        <v>5560</v>
      </c>
      <c r="H138" s="3" t="s">
        <v>5585</v>
      </c>
      <c r="I138" s="3" t="s">
        <v>5734</v>
      </c>
      <c r="J138" s="3" t="s">
        <v>5536</v>
      </c>
      <c r="K138" s="3" t="s">
        <v>5727</v>
      </c>
      <c r="L138" s="8" t="str">
        <f>HYPERLINK("http://slimages.macys.com/is/image/MCY/15327098 ")</f>
        <v xml:space="preserve">http://slimages.macys.com/is/image/MCY/15327098 </v>
      </c>
    </row>
    <row r="139" spans="1:12" x14ac:dyDescent="0.25">
      <c r="A139" s="6" t="s">
        <v>5909</v>
      </c>
      <c r="B139" s="3" t="s">
        <v>5910</v>
      </c>
      <c r="C139" s="4">
        <v>1</v>
      </c>
      <c r="D139" s="5">
        <v>69.5</v>
      </c>
      <c r="E139" s="4">
        <v>100060868</v>
      </c>
      <c r="F139" s="3" t="s">
        <v>5661</v>
      </c>
      <c r="G139" s="7" t="s">
        <v>5579</v>
      </c>
      <c r="H139" s="3" t="s">
        <v>5585</v>
      </c>
      <c r="I139" s="3" t="s">
        <v>5586</v>
      </c>
      <c r="J139" s="3" t="s">
        <v>5536</v>
      </c>
      <c r="K139" s="3" t="s">
        <v>5727</v>
      </c>
      <c r="L139" s="8" t="str">
        <f>HYPERLINK("http://slimages.macys.com/is/image/MCY/13397101 ")</f>
        <v xml:space="preserve">http://slimages.macys.com/is/image/MCY/13397101 </v>
      </c>
    </row>
    <row r="140" spans="1:12" x14ac:dyDescent="0.25">
      <c r="A140" s="6" t="s">
        <v>5911</v>
      </c>
      <c r="B140" s="3" t="s">
        <v>5912</v>
      </c>
      <c r="C140" s="4">
        <v>1</v>
      </c>
      <c r="D140" s="5">
        <v>39.99</v>
      </c>
      <c r="E140" s="4" t="s">
        <v>5913</v>
      </c>
      <c r="F140" s="3" t="s">
        <v>5820</v>
      </c>
      <c r="G140" s="7" t="s">
        <v>5560</v>
      </c>
      <c r="H140" s="3" t="s">
        <v>5606</v>
      </c>
      <c r="I140" s="3" t="s">
        <v>5914</v>
      </c>
      <c r="J140" s="3" t="s">
        <v>5536</v>
      </c>
      <c r="K140" s="3" t="s">
        <v>5594</v>
      </c>
      <c r="L140" s="8" t="str">
        <f>HYPERLINK("http://slimages.macys.com/is/image/MCY/15602396 ")</f>
        <v xml:space="preserve">http://slimages.macys.com/is/image/MCY/15602396 </v>
      </c>
    </row>
    <row r="141" spans="1:12" x14ac:dyDescent="0.25">
      <c r="A141" s="6" t="s">
        <v>5915</v>
      </c>
      <c r="B141" s="3" t="s">
        <v>5916</v>
      </c>
      <c r="C141" s="4">
        <v>1</v>
      </c>
      <c r="D141" s="5">
        <v>44.99</v>
      </c>
      <c r="E141" s="4">
        <v>476980003</v>
      </c>
      <c r="F141" s="3" t="s">
        <v>5793</v>
      </c>
      <c r="G141" s="7" t="s">
        <v>5626</v>
      </c>
      <c r="H141" s="3" t="s">
        <v>5807</v>
      </c>
      <c r="I141" s="3" t="s">
        <v>5808</v>
      </c>
      <c r="J141" s="3" t="s">
        <v>5536</v>
      </c>
      <c r="K141" s="3" t="s">
        <v>5558</v>
      </c>
      <c r="L141" s="8" t="str">
        <f>HYPERLINK("http://slimages.macys.com/is/image/MCY/9417656 ")</f>
        <v xml:space="preserve">http://slimages.macys.com/is/image/MCY/9417656 </v>
      </c>
    </row>
    <row r="142" spans="1:12" ht="24.75" x14ac:dyDescent="0.25">
      <c r="A142" s="6" t="s">
        <v>5917</v>
      </c>
      <c r="B142" s="3" t="s">
        <v>5918</v>
      </c>
      <c r="C142" s="4">
        <v>1</v>
      </c>
      <c r="D142" s="5">
        <v>44.5</v>
      </c>
      <c r="E142" s="4" t="s">
        <v>5919</v>
      </c>
      <c r="F142" s="3" t="s">
        <v>5661</v>
      </c>
      <c r="G142" s="7" t="s">
        <v>5562</v>
      </c>
      <c r="H142" s="3" t="s">
        <v>5794</v>
      </c>
      <c r="I142" s="3" t="s">
        <v>5920</v>
      </c>
      <c r="J142" s="3" t="s">
        <v>5536</v>
      </c>
      <c r="K142" s="3" t="s">
        <v>5800</v>
      </c>
      <c r="L142" s="8" t="str">
        <f>HYPERLINK("http://slimages.macys.com/is/image/MCY/14715859 ")</f>
        <v xml:space="preserve">http://slimages.macys.com/is/image/MCY/14715859 </v>
      </c>
    </row>
    <row r="143" spans="1:12" x14ac:dyDescent="0.25">
      <c r="A143" s="6" t="s">
        <v>5921</v>
      </c>
      <c r="B143" s="3" t="s">
        <v>5922</v>
      </c>
      <c r="C143" s="4">
        <v>1</v>
      </c>
      <c r="D143" s="5">
        <v>59.5</v>
      </c>
      <c r="E143" s="4">
        <v>100031340</v>
      </c>
      <c r="F143" s="3" t="s">
        <v>5540</v>
      </c>
      <c r="G143" s="7" t="s">
        <v>5533</v>
      </c>
      <c r="H143" s="3" t="s">
        <v>5585</v>
      </c>
      <c r="I143" s="3" t="s">
        <v>5586</v>
      </c>
      <c r="J143" s="3" t="s">
        <v>5536</v>
      </c>
      <c r="K143" s="3" t="s">
        <v>5574</v>
      </c>
      <c r="L143" s="8" t="str">
        <f>HYPERLINK("http://slimages.macys.com/is/image/MCY/10790042 ")</f>
        <v xml:space="preserve">http://slimages.macys.com/is/image/MCY/10790042 </v>
      </c>
    </row>
    <row r="144" spans="1:12" ht="24.75" x14ac:dyDescent="0.25">
      <c r="A144" s="6" t="s">
        <v>5923</v>
      </c>
      <c r="B144" s="3" t="s">
        <v>5924</v>
      </c>
      <c r="C144" s="4">
        <v>1</v>
      </c>
      <c r="D144" s="5">
        <v>49.5</v>
      </c>
      <c r="E144" s="4">
        <v>549150001</v>
      </c>
      <c r="F144" s="3" t="s">
        <v>5925</v>
      </c>
      <c r="G144" s="7" t="s">
        <v>5685</v>
      </c>
      <c r="H144" s="3" t="s">
        <v>5807</v>
      </c>
      <c r="I144" s="3" t="s">
        <v>5808</v>
      </c>
      <c r="J144" s="3" t="s">
        <v>5536</v>
      </c>
      <c r="K144" s="3" t="s">
        <v>5558</v>
      </c>
      <c r="L144" s="8" t="str">
        <f>HYPERLINK("http://slimages.macys.com/is/image/MCY/9560236 ")</f>
        <v xml:space="preserve">http://slimages.macys.com/is/image/MCY/9560236 </v>
      </c>
    </row>
    <row r="145" spans="1:12" x14ac:dyDescent="0.25">
      <c r="A145" s="6" t="s">
        <v>5926</v>
      </c>
      <c r="B145" s="3" t="s">
        <v>5927</v>
      </c>
      <c r="C145" s="4">
        <v>1</v>
      </c>
      <c r="D145" s="5">
        <v>34.99</v>
      </c>
      <c r="E145" s="4">
        <v>1772051</v>
      </c>
      <c r="F145" s="3" t="s">
        <v>5928</v>
      </c>
      <c r="G145" s="7" t="s">
        <v>5562</v>
      </c>
      <c r="H145" s="3" t="s">
        <v>5929</v>
      </c>
      <c r="I145" s="3" t="s">
        <v>5930</v>
      </c>
      <c r="J145" s="3" t="s">
        <v>5536</v>
      </c>
      <c r="K145" s="3" t="s">
        <v>5727</v>
      </c>
      <c r="L145" s="8" t="str">
        <f>HYPERLINK("http://slimages.macys.com/is/image/MCY/12272231 ")</f>
        <v xml:space="preserve">http://slimages.macys.com/is/image/MCY/12272231 </v>
      </c>
    </row>
    <row r="146" spans="1:12" ht="24.75" x14ac:dyDescent="0.25">
      <c r="A146" s="6" t="s">
        <v>5931</v>
      </c>
      <c r="B146" s="3" t="s">
        <v>5932</v>
      </c>
      <c r="C146" s="4">
        <v>1</v>
      </c>
      <c r="D146" s="5">
        <v>45</v>
      </c>
      <c r="E146" s="4" t="s">
        <v>5933</v>
      </c>
      <c r="F146" s="3" t="s">
        <v>5532</v>
      </c>
      <c r="G146" s="7" t="s">
        <v>5656</v>
      </c>
      <c r="H146" s="3" t="s">
        <v>5862</v>
      </c>
      <c r="I146" s="3" t="s">
        <v>5934</v>
      </c>
      <c r="J146" s="3" t="s">
        <v>5536</v>
      </c>
      <c r="K146" s="3" t="s">
        <v>5935</v>
      </c>
      <c r="L146" s="8" t="str">
        <f>HYPERLINK("http://slimages.macys.com/is/image/MCY/14452799 ")</f>
        <v xml:space="preserve">http://slimages.macys.com/is/image/MCY/14452799 </v>
      </c>
    </row>
    <row r="147" spans="1:12" x14ac:dyDescent="0.25">
      <c r="A147" s="6" t="s">
        <v>5936</v>
      </c>
      <c r="B147" s="3" t="s">
        <v>5937</v>
      </c>
      <c r="C147" s="4">
        <v>1</v>
      </c>
      <c r="D147" s="5">
        <v>34.99</v>
      </c>
      <c r="E147" s="4" t="s">
        <v>5938</v>
      </c>
      <c r="F147" s="3" t="s">
        <v>5604</v>
      </c>
      <c r="G147" s="7" t="s">
        <v>5598</v>
      </c>
      <c r="H147" s="3" t="s">
        <v>5606</v>
      </c>
      <c r="I147" s="3" t="s">
        <v>5914</v>
      </c>
      <c r="J147" s="3" t="s">
        <v>5536</v>
      </c>
      <c r="K147" s="3" t="s">
        <v>5549</v>
      </c>
      <c r="L147" s="8" t="str">
        <f>HYPERLINK("http://slimages.macys.com/is/image/MCY/14433861 ")</f>
        <v xml:space="preserve">http://slimages.macys.com/is/image/MCY/14433861 </v>
      </c>
    </row>
    <row r="148" spans="1:12" ht="24.75" x14ac:dyDescent="0.25">
      <c r="A148" s="6" t="s">
        <v>5939</v>
      </c>
      <c r="B148" s="3" t="s">
        <v>5940</v>
      </c>
      <c r="C148" s="4">
        <v>1</v>
      </c>
      <c r="D148" s="5">
        <v>34.99</v>
      </c>
      <c r="E148" s="4" t="s">
        <v>5941</v>
      </c>
      <c r="F148" s="3" t="s">
        <v>5616</v>
      </c>
      <c r="G148" s="7" t="s">
        <v>5533</v>
      </c>
      <c r="H148" s="3" t="s">
        <v>5606</v>
      </c>
      <c r="I148" s="3" t="s">
        <v>5914</v>
      </c>
      <c r="J148" s="3" t="s">
        <v>5536</v>
      </c>
      <c r="K148" s="3" t="s">
        <v>5553</v>
      </c>
      <c r="L148" s="8" t="str">
        <f>HYPERLINK("http://slimages.macys.com/is/image/MCY/11640947 ")</f>
        <v xml:space="preserve">http://slimages.macys.com/is/image/MCY/11640947 </v>
      </c>
    </row>
    <row r="149" spans="1:12" ht="24.75" x14ac:dyDescent="0.25">
      <c r="A149" s="6" t="s">
        <v>5942</v>
      </c>
      <c r="B149" s="3" t="s">
        <v>5943</v>
      </c>
      <c r="C149" s="4">
        <v>1</v>
      </c>
      <c r="D149" s="5">
        <v>34.99</v>
      </c>
      <c r="E149" s="4" t="s">
        <v>5944</v>
      </c>
      <c r="F149" s="3" t="s">
        <v>5945</v>
      </c>
      <c r="G149" s="7" t="s">
        <v>5596</v>
      </c>
      <c r="H149" s="3" t="s">
        <v>5606</v>
      </c>
      <c r="I149" s="3" t="s">
        <v>5914</v>
      </c>
      <c r="J149" s="3" t="s">
        <v>5536</v>
      </c>
      <c r="K149" s="3" t="s">
        <v>5594</v>
      </c>
      <c r="L149" s="8" t="str">
        <f>HYPERLINK("http://slimages.macys.com/is/image/MCY/15437063 ")</f>
        <v xml:space="preserve">http://slimages.macys.com/is/image/MCY/15437063 </v>
      </c>
    </row>
    <row r="150" spans="1:12" x14ac:dyDescent="0.25">
      <c r="A150" s="6" t="s">
        <v>5946</v>
      </c>
      <c r="B150" s="3" t="s">
        <v>5937</v>
      </c>
      <c r="C150" s="4">
        <v>1</v>
      </c>
      <c r="D150" s="5">
        <v>34.99</v>
      </c>
      <c r="E150" s="4" t="s">
        <v>5938</v>
      </c>
      <c r="F150" s="3" t="s">
        <v>5604</v>
      </c>
      <c r="G150" s="7" t="s">
        <v>5533</v>
      </c>
      <c r="H150" s="3" t="s">
        <v>5606</v>
      </c>
      <c r="I150" s="3" t="s">
        <v>5914</v>
      </c>
      <c r="J150" s="3" t="s">
        <v>5536</v>
      </c>
      <c r="K150" s="3" t="s">
        <v>5549</v>
      </c>
      <c r="L150" s="8" t="str">
        <f>HYPERLINK("http://slimages.macys.com/is/image/MCY/14433861 ")</f>
        <v xml:space="preserve">http://slimages.macys.com/is/image/MCY/14433861 </v>
      </c>
    </row>
    <row r="151" spans="1:12" x14ac:dyDescent="0.25">
      <c r="A151" s="6" t="s">
        <v>5947</v>
      </c>
      <c r="B151" s="3" t="s">
        <v>5948</v>
      </c>
      <c r="C151" s="4">
        <v>1</v>
      </c>
      <c r="D151" s="5">
        <v>34.99</v>
      </c>
      <c r="E151" s="4" t="s">
        <v>5949</v>
      </c>
      <c r="F151" s="3" t="s">
        <v>5820</v>
      </c>
      <c r="G151" s="7" t="s">
        <v>5560</v>
      </c>
      <c r="H151" s="3" t="s">
        <v>5606</v>
      </c>
      <c r="I151" s="3" t="s">
        <v>5914</v>
      </c>
      <c r="J151" s="3" t="s">
        <v>5536</v>
      </c>
      <c r="K151" s="3" t="s">
        <v>5594</v>
      </c>
      <c r="L151" s="8" t="str">
        <f>HYPERLINK("http://slimages.macys.com/is/image/MCY/15602237 ")</f>
        <v xml:space="preserve">http://slimages.macys.com/is/image/MCY/15602237 </v>
      </c>
    </row>
    <row r="152" spans="1:12" ht="24.75" x14ac:dyDescent="0.25">
      <c r="A152" s="6" t="s">
        <v>5950</v>
      </c>
      <c r="B152" s="3" t="s">
        <v>5951</v>
      </c>
      <c r="C152" s="4">
        <v>1</v>
      </c>
      <c r="D152" s="5">
        <v>34.99</v>
      </c>
      <c r="E152" s="4" t="s">
        <v>5952</v>
      </c>
      <c r="F152" s="3" t="s">
        <v>5616</v>
      </c>
      <c r="G152" s="7" t="s">
        <v>5533</v>
      </c>
      <c r="H152" s="3" t="s">
        <v>5606</v>
      </c>
      <c r="I152" s="3" t="s">
        <v>5914</v>
      </c>
      <c r="J152" s="3" t="s">
        <v>5536</v>
      </c>
      <c r="K152" s="3" t="s">
        <v>5594</v>
      </c>
      <c r="L152" s="8" t="str">
        <f>HYPERLINK("http://slimages.macys.com/is/image/MCY/15119060 ")</f>
        <v xml:space="preserve">http://slimages.macys.com/is/image/MCY/15119060 </v>
      </c>
    </row>
    <row r="153" spans="1:12" ht="24.75" x14ac:dyDescent="0.25">
      <c r="A153" s="6" t="s">
        <v>5953</v>
      </c>
      <c r="B153" s="3" t="s">
        <v>5954</v>
      </c>
      <c r="C153" s="4">
        <v>1</v>
      </c>
      <c r="D153" s="5">
        <v>69.5</v>
      </c>
      <c r="E153" s="4">
        <v>100036613</v>
      </c>
      <c r="F153" s="3" t="s">
        <v>5604</v>
      </c>
      <c r="G153" s="7" t="s">
        <v>5579</v>
      </c>
      <c r="H153" s="3" t="s">
        <v>5955</v>
      </c>
      <c r="I153" s="3" t="s">
        <v>5956</v>
      </c>
      <c r="J153" s="3" t="s">
        <v>5536</v>
      </c>
      <c r="K153" s="3" t="s">
        <v>5553</v>
      </c>
      <c r="L153" s="8" t="str">
        <f>HYPERLINK("http://slimages.macys.com/is/image/MCY/10755408 ")</f>
        <v xml:space="preserve">http://slimages.macys.com/is/image/MCY/10755408 </v>
      </c>
    </row>
    <row r="154" spans="1:12" x14ac:dyDescent="0.25">
      <c r="A154" s="6" t="s">
        <v>5957</v>
      </c>
      <c r="B154" s="3" t="s">
        <v>5958</v>
      </c>
      <c r="C154" s="4">
        <v>1</v>
      </c>
      <c r="D154" s="5">
        <v>69.5</v>
      </c>
      <c r="E154" s="4">
        <v>100076029</v>
      </c>
      <c r="F154" s="3" t="s">
        <v>5610</v>
      </c>
      <c r="G154" s="7" t="s">
        <v>5567</v>
      </c>
      <c r="H154" s="3" t="s">
        <v>5585</v>
      </c>
      <c r="I154" s="3" t="s">
        <v>5586</v>
      </c>
      <c r="J154" s="3" t="s">
        <v>5536</v>
      </c>
      <c r="K154" s="3" t="s">
        <v>5587</v>
      </c>
      <c r="L154" s="8" t="str">
        <f>HYPERLINK("http://slimages.macys.com/is/image/MCY/15327356 ")</f>
        <v xml:space="preserve">http://slimages.macys.com/is/image/MCY/15327356 </v>
      </c>
    </row>
    <row r="155" spans="1:12" x14ac:dyDescent="0.25">
      <c r="A155" s="6" t="s">
        <v>5959</v>
      </c>
      <c r="B155" s="3" t="s">
        <v>5960</v>
      </c>
      <c r="C155" s="4">
        <v>2</v>
      </c>
      <c r="D155" s="5">
        <v>69.98</v>
      </c>
      <c r="E155" s="4" t="s">
        <v>5961</v>
      </c>
      <c r="F155" s="3" t="s">
        <v>5783</v>
      </c>
      <c r="G155" s="7" t="s">
        <v>5533</v>
      </c>
      <c r="H155" s="3" t="s">
        <v>5606</v>
      </c>
      <c r="I155" s="3" t="s">
        <v>5914</v>
      </c>
      <c r="J155" s="3" t="s">
        <v>5536</v>
      </c>
      <c r="K155" s="3" t="s">
        <v>5574</v>
      </c>
      <c r="L155" s="8" t="str">
        <f>HYPERLINK("http://slimages.macys.com/is/image/MCY/15138334 ")</f>
        <v xml:space="preserve">http://slimages.macys.com/is/image/MCY/15138334 </v>
      </c>
    </row>
    <row r="156" spans="1:12" ht="24.75" x14ac:dyDescent="0.25">
      <c r="A156" s="6" t="s">
        <v>5962</v>
      </c>
      <c r="B156" s="3" t="s">
        <v>5963</v>
      </c>
      <c r="C156" s="4">
        <v>1</v>
      </c>
      <c r="D156" s="5">
        <v>39.99</v>
      </c>
      <c r="E156" s="4">
        <v>594630001</v>
      </c>
      <c r="F156" s="3" t="s">
        <v>5964</v>
      </c>
      <c r="G156" s="7" t="s">
        <v>5629</v>
      </c>
      <c r="H156" s="3" t="s">
        <v>5807</v>
      </c>
      <c r="I156" s="3" t="s">
        <v>5808</v>
      </c>
      <c r="J156" s="3" t="s">
        <v>5536</v>
      </c>
      <c r="K156" s="3" t="s">
        <v>5965</v>
      </c>
      <c r="L156" s="8" t="str">
        <f>HYPERLINK("http://slimages.macys.com/is/image/MCY/11030695 ")</f>
        <v xml:space="preserve">http://slimages.macys.com/is/image/MCY/11030695 </v>
      </c>
    </row>
    <row r="157" spans="1:12" ht="24.75" x14ac:dyDescent="0.25">
      <c r="A157" s="6" t="s">
        <v>5966</v>
      </c>
      <c r="B157" s="3" t="s">
        <v>5967</v>
      </c>
      <c r="C157" s="4">
        <v>1</v>
      </c>
      <c r="D157" s="5">
        <v>34.99</v>
      </c>
      <c r="E157" s="4" t="s">
        <v>5968</v>
      </c>
      <c r="F157" s="3" t="s">
        <v>5945</v>
      </c>
      <c r="G157" s="7" t="s">
        <v>5562</v>
      </c>
      <c r="H157" s="3" t="s">
        <v>5606</v>
      </c>
      <c r="I157" s="3" t="s">
        <v>5914</v>
      </c>
      <c r="J157" s="3" t="s">
        <v>5536</v>
      </c>
      <c r="K157" s="3" t="s">
        <v>5574</v>
      </c>
      <c r="L157" s="8" t="str">
        <f>HYPERLINK("http://slimages.macys.com/is/image/MCY/14350785 ")</f>
        <v xml:space="preserve">http://slimages.macys.com/is/image/MCY/14350785 </v>
      </c>
    </row>
    <row r="158" spans="1:12" x14ac:dyDescent="0.25">
      <c r="A158" s="6" t="s">
        <v>5969</v>
      </c>
      <c r="B158" s="3" t="s">
        <v>5970</v>
      </c>
      <c r="C158" s="4">
        <v>1</v>
      </c>
      <c r="D158" s="5">
        <v>34.99</v>
      </c>
      <c r="E158" s="4" t="s">
        <v>5971</v>
      </c>
      <c r="F158" s="3" t="s">
        <v>5820</v>
      </c>
      <c r="G158" s="7" t="s">
        <v>5533</v>
      </c>
      <c r="H158" s="3" t="s">
        <v>5606</v>
      </c>
      <c r="I158" s="3" t="s">
        <v>5914</v>
      </c>
      <c r="J158" s="3" t="s">
        <v>5536</v>
      </c>
      <c r="K158" s="3" t="s">
        <v>5574</v>
      </c>
      <c r="L158" s="8" t="str">
        <f>HYPERLINK("http://slimages.macys.com/is/image/MCY/13852843 ")</f>
        <v xml:space="preserve">http://slimages.macys.com/is/image/MCY/13852843 </v>
      </c>
    </row>
    <row r="159" spans="1:12" x14ac:dyDescent="0.25">
      <c r="A159" s="6" t="s">
        <v>5972</v>
      </c>
      <c r="B159" s="3" t="s">
        <v>5973</v>
      </c>
      <c r="C159" s="4">
        <v>1</v>
      </c>
      <c r="D159" s="5">
        <v>34.99</v>
      </c>
      <c r="E159" s="4" t="s">
        <v>5968</v>
      </c>
      <c r="F159" s="3" t="s">
        <v>5783</v>
      </c>
      <c r="G159" s="7" t="s">
        <v>5560</v>
      </c>
      <c r="H159" s="3" t="s">
        <v>5606</v>
      </c>
      <c r="I159" s="3" t="s">
        <v>5914</v>
      </c>
      <c r="J159" s="3" t="s">
        <v>5536</v>
      </c>
      <c r="K159" s="3" t="s">
        <v>5574</v>
      </c>
      <c r="L159" s="8" t="str">
        <f>HYPERLINK("http://slimages.macys.com/is/image/MCY/14350785 ")</f>
        <v xml:space="preserve">http://slimages.macys.com/is/image/MCY/14350785 </v>
      </c>
    </row>
    <row r="160" spans="1:12" ht="24.75" x14ac:dyDescent="0.25">
      <c r="A160" s="6" t="s">
        <v>5974</v>
      </c>
      <c r="B160" s="3" t="s">
        <v>5975</v>
      </c>
      <c r="C160" s="4">
        <v>1</v>
      </c>
      <c r="D160" s="5">
        <v>54.99</v>
      </c>
      <c r="E160" s="4" t="s">
        <v>5976</v>
      </c>
      <c r="F160" s="3" t="s">
        <v>5977</v>
      </c>
      <c r="G160" s="7" t="s">
        <v>5562</v>
      </c>
      <c r="H160" s="3" t="s">
        <v>5978</v>
      </c>
      <c r="I160" s="3" t="s">
        <v>5979</v>
      </c>
      <c r="J160" s="3" t="s">
        <v>5536</v>
      </c>
      <c r="K160" s="3" t="s">
        <v>5980</v>
      </c>
      <c r="L160" s="8" t="str">
        <f>HYPERLINK("http://slimages.macys.com/is/image/MCY/14798059 ")</f>
        <v xml:space="preserve">http://slimages.macys.com/is/image/MCY/14798059 </v>
      </c>
    </row>
    <row r="161" spans="1:12" ht="24.75" x14ac:dyDescent="0.25">
      <c r="A161" s="6" t="s">
        <v>5981</v>
      </c>
      <c r="B161" s="3" t="s">
        <v>5982</v>
      </c>
      <c r="C161" s="4">
        <v>2</v>
      </c>
      <c r="D161" s="5">
        <v>92.4</v>
      </c>
      <c r="E161" s="4" t="s">
        <v>5983</v>
      </c>
      <c r="F161" s="3" t="s">
        <v>5540</v>
      </c>
      <c r="G161" s="7" t="s">
        <v>5898</v>
      </c>
      <c r="H161" s="3" t="s">
        <v>5842</v>
      </c>
      <c r="I161" s="3" t="s">
        <v>5904</v>
      </c>
      <c r="J161" s="3" t="s">
        <v>5536</v>
      </c>
      <c r="K161" s="3" t="s">
        <v>5984</v>
      </c>
      <c r="L161" s="8" t="str">
        <f>HYPERLINK("http://slimages.macys.com/is/image/MCY/14312268 ")</f>
        <v xml:space="preserve">http://slimages.macys.com/is/image/MCY/14312268 </v>
      </c>
    </row>
    <row r="162" spans="1:12" ht="24.75" x14ac:dyDescent="0.25">
      <c r="A162" s="6" t="s">
        <v>5985</v>
      </c>
      <c r="B162" s="3" t="s">
        <v>5986</v>
      </c>
      <c r="C162" s="4">
        <v>3</v>
      </c>
      <c r="D162" s="5">
        <v>138.6</v>
      </c>
      <c r="E162" s="4" t="s">
        <v>5987</v>
      </c>
      <c r="F162" s="3" t="s">
        <v>5540</v>
      </c>
      <c r="G162" s="7" t="s">
        <v>5898</v>
      </c>
      <c r="H162" s="3" t="s">
        <v>5842</v>
      </c>
      <c r="I162" s="3" t="s">
        <v>5904</v>
      </c>
      <c r="J162" s="3" t="s">
        <v>5536</v>
      </c>
      <c r="K162" s="3" t="s">
        <v>5984</v>
      </c>
      <c r="L162" s="8" t="str">
        <f>HYPERLINK("http://slimages.macys.com/is/image/MCY/14312374 ")</f>
        <v xml:space="preserve">http://slimages.macys.com/is/image/MCY/14312374 </v>
      </c>
    </row>
    <row r="163" spans="1:12" x14ac:dyDescent="0.25">
      <c r="A163" s="6" t="s">
        <v>5988</v>
      </c>
      <c r="B163" s="3" t="s">
        <v>5989</v>
      </c>
      <c r="C163" s="4">
        <v>1</v>
      </c>
      <c r="D163" s="5">
        <v>34.99</v>
      </c>
      <c r="E163" s="4" t="s">
        <v>5990</v>
      </c>
      <c r="F163" s="3" t="s">
        <v>5532</v>
      </c>
      <c r="G163" s="7" t="s">
        <v>5596</v>
      </c>
      <c r="H163" s="3" t="s">
        <v>5978</v>
      </c>
      <c r="I163" s="3" t="s">
        <v>5991</v>
      </c>
      <c r="J163" s="3" t="s">
        <v>5536</v>
      </c>
      <c r="K163" s="3" t="s">
        <v>5992</v>
      </c>
      <c r="L163" s="8" t="str">
        <f>HYPERLINK("http://slimages.macys.com/is/image/MCY/3457412 ")</f>
        <v xml:space="preserve">http://slimages.macys.com/is/image/MCY/3457412 </v>
      </c>
    </row>
    <row r="164" spans="1:12" ht="24.75" x14ac:dyDescent="0.25">
      <c r="A164" s="6" t="s">
        <v>5993</v>
      </c>
      <c r="B164" s="3" t="s">
        <v>5994</v>
      </c>
      <c r="C164" s="4">
        <v>1</v>
      </c>
      <c r="D164" s="5">
        <v>36</v>
      </c>
      <c r="E164" s="4" t="s">
        <v>5995</v>
      </c>
      <c r="F164" s="3" t="s">
        <v>5572</v>
      </c>
      <c r="G164" s="7" t="s">
        <v>5898</v>
      </c>
      <c r="H164" s="3" t="s">
        <v>5899</v>
      </c>
      <c r="I164" s="3" t="s">
        <v>5900</v>
      </c>
      <c r="J164" s="3" t="s">
        <v>5536</v>
      </c>
      <c r="K164" s="3" t="s">
        <v>5727</v>
      </c>
      <c r="L164" s="8" t="str">
        <f>HYPERLINK("http://slimages.macys.com/is/image/MCY/9665085 ")</f>
        <v xml:space="preserve">http://slimages.macys.com/is/image/MCY/9665085 </v>
      </c>
    </row>
    <row r="165" spans="1:12" ht="24.75" x14ac:dyDescent="0.25">
      <c r="A165" s="6" t="s">
        <v>5996</v>
      </c>
      <c r="B165" s="3" t="s">
        <v>5997</v>
      </c>
      <c r="C165" s="4">
        <v>1</v>
      </c>
      <c r="D165" s="5">
        <v>38.99</v>
      </c>
      <c r="E165" s="4" t="s">
        <v>5998</v>
      </c>
      <c r="F165" s="3" t="s">
        <v>5532</v>
      </c>
      <c r="G165" s="7" t="s">
        <v>5999</v>
      </c>
      <c r="H165" s="3" t="s">
        <v>5892</v>
      </c>
      <c r="I165" s="3" t="s">
        <v>5893</v>
      </c>
      <c r="J165" s="3" t="s">
        <v>5536</v>
      </c>
      <c r="K165" s="3" t="s">
        <v>5549</v>
      </c>
      <c r="L165" s="8" t="str">
        <f>HYPERLINK("http://slimages.macys.com/is/image/MCY/15239055 ")</f>
        <v xml:space="preserve">http://slimages.macys.com/is/image/MCY/15239055 </v>
      </c>
    </row>
    <row r="166" spans="1:12" ht="48.75" x14ac:dyDescent="0.25">
      <c r="A166" s="6" t="s">
        <v>6000</v>
      </c>
      <c r="B166" s="3" t="s">
        <v>6001</v>
      </c>
      <c r="C166" s="4">
        <v>1</v>
      </c>
      <c r="D166" s="5">
        <v>34.99</v>
      </c>
      <c r="E166" s="4" t="s">
        <v>6002</v>
      </c>
      <c r="F166" s="3" t="s">
        <v>5604</v>
      </c>
      <c r="G166" s="7" t="s">
        <v>5562</v>
      </c>
      <c r="H166" s="3" t="s">
        <v>6003</v>
      </c>
      <c r="I166" s="3" t="s">
        <v>6004</v>
      </c>
      <c r="J166" s="3" t="s">
        <v>5536</v>
      </c>
      <c r="K166" s="3" t="s">
        <v>6005</v>
      </c>
      <c r="L166" s="8" t="str">
        <f>HYPERLINK("http://slimages.macys.com/is/image/MCY/10293522 ")</f>
        <v xml:space="preserve">http://slimages.macys.com/is/image/MCY/10293522 </v>
      </c>
    </row>
    <row r="167" spans="1:12" x14ac:dyDescent="0.25">
      <c r="A167" s="6" t="s">
        <v>6006</v>
      </c>
      <c r="B167" s="3" t="s">
        <v>6007</v>
      </c>
      <c r="C167" s="4">
        <v>1</v>
      </c>
      <c r="D167" s="5">
        <v>69.5</v>
      </c>
      <c r="E167" s="4">
        <v>100082811</v>
      </c>
      <c r="F167" s="3" t="s">
        <v>5783</v>
      </c>
      <c r="G167" s="7" t="s">
        <v>5560</v>
      </c>
      <c r="H167" s="3" t="s">
        <v>5585</v>
      </c>
      <c r="I167" s="3" t="s">
        <v>5734</v>
      </c>
      <c r="J167" s="3" t="s">
        <v>5536</v>
      </c>
      <c r="K167" s="3" t="s">
        <v>5594</v>
      </c>
      <c r="L167" s="8" t="str">
        <f>HYPERLINK("http://slimages.macys.com/is/image/MCY/15861495 ")</f>
        <v xml:space="preserve">http://slimages.macys.com/is/image/MCY/15861495 </v>
      </c>
    </row>
    <row r="168" spans="1:12" x14ac:dyDescent="0.25">
      <c r="A168" s="6" t="s">
        <v>6008</v>
      </c>
      <c r="B168" s="3" t="s">
        <v>6007</v>
      </c>
      <c r="C168" s="4">
        <v>1</v>
      </c>
      <c r="D168" s="5">
        <v>69.5</v>
      </c>
      <c r="E168" s="4">
        <v>100082811</v>
      </c>
      <c r="F168" s="3" t="s">
        <v>5783</v>
      </c>
      <c r="G168" s="7" t="s">
        <v>5533</v>
      </c>
      <c r="H168" s="3" t="s">
        <v>5585</v>
      </c>
      <c r="I168" s="3" t="s">
        <v>5734</v>
      </c>
      <c r="J168" s="3" t="s">
        <v>5536</v>
      </c>
      <c r="K168" s="3" t="s">
        <v>5594</v>
      </c>
      <c r="L168" s="8" t="str">
        <f>HYPERLINK("http://slimages.macys.com/is/image/MCY/15861495 ")</f>
        <v xml:space="preserve">http://slimages.macys.com/is/image/MCY/15861495 </v>
      </c>
    </row>
    <row r="169" spans="1:12" x14ac:dyDescent="0.25">
      <c r="A169" s="6" t="s">
        <v>6009</v>
      </c>
      <c r="B169" s="3" t="s">
        <v>6007</v>
      </c>
      <c r="C169" s="4">
        <v>1</v>
      </c>
      <c r="D169" s="5">
        <v>69.5</v>
      </c>
      <c r="E169" s="4">
        <v>100082811</v>
      </c>
      <c r="F169" s="3" t="s">
        <v>6010</v>
      </c>
      <c r="G169" s="7" t="s">
        <v>5560</v>
      </c>
      <c r="H169" s="3" t="s">
        <v>5585</v>
      </c>
      <c r="I169" s="3" t="s">
        <v>5734</v>
      </c>
      <c r="J169" s="3" t="s">
        <v>5536</v>
      </c>
      <c r="K169" s="3" t="s">
        <v>5594</v>
      </c>
      <c r="L169" s="8" t="str">
        <f>HYPERLINK("http://slimages.macys.com/is/image/MCY/15861495 ")</f>
        <v xml:space="preserve">http://slimages.macys.com/is/image/MCY/15861495 </v>
      </c>
    </row>
    <row r="170" spans="1:12" ht="24.75" x14ac:dyDescent="0.25">
      <c r="A170" s="6" t="s">
        <v>6011</v>
      </c>
      <c r="B170" s="3" t="s">
        <v>6007</v>
      </c>
      <c r="C170" s="4">
        <v>1</v>
      </c>
      <c r="D170" s="5">
        <v>69.5</v>
      </c>
      <c r="E170" s="4">
        <v>100082811</v>
      </c>
      <c r="F170" s="3" t="s">
        <v>5783</v>
      </c>
      <c r="G170" s="7" t="s">
        <v>5733</v>
      </c>
      <c r="H170" s="3" t="s">
        <v>5585</v>
      </c>
      <c r="I170" s="3" t="s">
        <v>5734</v>
      </c>
      <c r="J170" s="3" t="s">
        <v>5536</v>
      </c>
      <c r="K170" s="3" t="s">
        <v>5594</v>
      </c>
      <c r="L170" s="8" t="str">
        <f>HYPERLINK("http://slimages.macys.com/is/image/MCY/15861495 ")</f>
        <v xml:space="preserve">http://slimages.macys.com/is/image/MCY/15861495 </v>
      </c>
    </row>
    <row r="171" spans="1:12" ht="24.75" x14ac:dyDescent="0.25">
      <c r="A171" s="6" t="s">
        <v>6012</v>
      </c>
      <c r="B171" s="3" t="s">
        <v>6007</v>
      </c>
      <c r="C171" s="4">
        <v>1</v>
      </c>
      <c r="D171" s="5">
        <v>69.5</v>
      </c>
      <c r="E171" s="4">
        <v>100082811</v>
      </c>
      <c r="F171" s="3" t="s">
        <v>6010</v>
      </c>
      <c r="G171" s="7" t="s">
        <v>5733</v>
      </c>
      <c r="H171" s="3" t="s">
        <v>5585</v>
      </c>
      <c r="I171" s="3" t="s">
        <v>5734</v>
      </c>
      <c r="J171" s="3" t="s">
        <v>5536</v>
      </c>
      <c r="K171" s="3" t="s">
        <v>5594</v>
      </c>
      <c r="L171" s="8" t="str">
        <f>HYPERLINK("http://slimages.macys.com/is/image/MCY/15861495 ")</f>
        <v xml:space="preserve">http://slimages.macys.com/is/image/MCY/15861495 </v>
      </c>
    </row>
    <row r="172" spans="1:12" ht="24.75" x14ac:dyDescent="0.25">
      <c r="A172" s="6" t="s">
        <v>6013</v>
      </c>
      <c r="B172" s="3" t="s">
        <v>6014</v>
      </c>
      <c r="C172" s="4">
        <v>2</v>
      </c>
      <c r="D172" s="5">
        <v>84</v>
      </c>
      <c r="E172" s="4" t="s">
        <v>6015</v>
      </c>
      <c r="F172" s="3" t="s">
        <v>5540</v>
      </c>
      <c r="G172" s="7" t="s">
        <v>5596</v>
      </c>
      <c r="H172" s="3" t="s">
        <v>5842</v>
      </c>
      <c r="I172" s="3" t="s">
        <v>5904</v>
      </c>
      <c r="J172" s="3" t="s">
        <v>5536</v>
      </c>
      <c r="K172" s="3" t="s">
        <v>5844</v>
      </c>
      <c r="L172" s="8" t="str">
        <f>HYPERLINK("http://slimages.macys.com/is/image/MCY/14618805 ")</f>
        <v xml:space="preserve">http://slimages.macys.com/is/image/MCY/14618805 </v>
      </c>
    </row>
    <row r="173" spans="1:12" ht="24.75" x14ac:dyDescent="0.25">
      <c r="A173" s="6" t="s">
        <v>6016</v>
      </c>
      <c r="B173" s="3" t="s">
        <v>6017</v>
      </c>
      <c r="C173" s="4">
        <v>1</v>
      </c>
      <c r="D173" s="5">
        <v>50</v>
      </c>
      <c r="E173" s="4" t="s">
        <v>6018</v>
      </c>
      <c r="F173" s="3" t="s">
        <v>5540</v>
      </c>
      <c r="G173" s="7" t="s">
        <v>5598</v>
      </c>
      <c r="H173" s="3" t="s">
        <v>6019</v>
      </c>
      <c r="I173" s="3" t="s">
        <v>6020</v>
      </c>
      <c r="J173" s="3" t="s">
        <v>5536</v>
      </c>
      <c r="K173" s="3" t="s">
        <v>6021</v>
      </c>
      <c r="L173" s="8" t="str">
        <f>HYPERLINK("http://slimages.macys.com/is/image/MCY/14579981 ")</f>
        <v xml:space="preserve">http://slimages.macys.com/is/image/MCY/14579981 </v>
      </c>
    </row>
    <row r="174" spans="1:12" ht="24.75" x14ac:dyDescent="0.25">
      <c r="A174" s="6" t="s">
        <v>6022</v>
      </c>
      <c r="B174" s="3" t="s">
        <v>6023</v>
      </c>
      <c r="C174" s="4">
        <v>1</v>
      </c>
      <c r="D174" s="5">
        <v>36.99</v>
      </c>
      <c r="E174" s="4" t="s">
        <v>6024</v>
      </c>
      <c r="F174" s="3" t="s">
        <v>5625</v>
      </c>
      <c r="G174" s="7" t="s">
        <v>6025</v>
      </c>
      <c r="H174" s="3" t="s">
        <v>6026</v>
      </c>
      <c r="I174" s="3" t="s">
        <v>6027</v>
      </c>
      <c r="J174" s="3" t="s">
        <v>5536</v>
      </c>
      <c r="K174" s="3" t="s">
        <v>5641</v>
      </c>
      <c r="L174" s="8" t="str">
        <f t="shared" ref="L174:L179" si="1">HYPERLINK("http://slimages.macys.com/is/image/MCY/16260743 ")</f>
        <v xml:space="preserve">http://slimages.macys.com/is/image/MCY/16260743 </v>
      </c>
    </row>
    <row r="175" spans="1:12" ht="24.75" x14ac:dyDescent="0.25">
      <c r="A175" s="6" t="s">
        <v>6028</v>
      </c>
      <c r="B175" s="3" t="s">
        <v>6023</v>
      </c>
      <c r="C175" s="4">
        <v>1</v>
      </c>
      <c r="D175" s="5">
        <v>36.99</v>
      </c>
      <c r="E175" s="4" t="s">
        <v>6024</v>
      </c>
      <c r="F175" s="3" t="s">
        <v>5625</v>
      </c>
      <c r="G175" s="7" t="s">
        <v>5830</v>
      </c>
      <c r="H175" s="3" t="s">
        <v>6026</v>
      </c>
      <c r="I175" s="3" t="s">
        <v>6027</v>
      </c>
      <c r="J175" s="3" t="s">
        <v>5536</v>
      </c>
      <c r="K175" s="3" t="s">
        <v>5641</v>
      </c>
      <c r="L175" s="8" t="str">
        <f t="shared" si="1"/>
        <v xml:space="preserve">http://slimages.macys.com/is/image/MCY/16260743 </v>
      </c>
    </row>
    <row r="176" spans="1:12" ht="24.75" x14ac:dyDescent="0.25">
      <c r="A176" s="6" t="s">
        <v>6029</v>
      </c>
      <c r="B176" s="3" t="s">
        <v>6023</v>
      </c>
      <c r="C176" s="4">
        <v>1</v>
      </c>
      <c r="D176" s="5">
        <v>36.99</v>
      </c>
      <c r="E176" s="4" t="s">
        <v>6024</v>
      </c>
      <c r="F176" s="3" t="s">
        <v>5625</v>
      </c>
      <c r="G176" s="7" t="s">
        <v>5777</v>
      </c>
      <c r="H176" s="3" t="s">
        <v>6026</v>
      </c>
      <c r="I176" s="3" t="s">
        <v>6027</v>
      </c>
      <c r="J176" s="3" t="s">
        <v>5536</v>
      </c>
      <c r="K176" s="3" t="s">
        <v>5641</v>
      </c>
      <c r="L176" s="8" t="str">
        <f t="shared" si="1"/>
        <v xml:space="preserve">http://slimages.macys.com/is/image/MCY/16260743 </v>
      </c>
    </row>
    <row r="177" spans="1:12" ht="24.75" x14ac:dyDescent="0.25">
      <c r="A177" s="6" t="s">
        <v>6030</v>
      </c>
      <c r="B177" s="3" t="s">
        <v>6023</v>
      </c>
      <c r="C177" s="4">
        <v>1</v>
      </c>
      <c r="D177" s="5">
        <v>36.99</v>
      </c>
      <c r="E177" s="4" t="s">
        <v>6024</v>
      </c>
      <c r="F177" s="3" t="s">
        <v>5625</v>
      </c>
      <c r="G177" s="7" t="s">
        <v>5764</v>
      </c>
      <c r="H177" s="3" t="s">
        <v>6026</v>
      </c>
      <c r="I177" s="3" t="s">
        <v>6027</v>
      </c>
      <c r="J177" s="3" t="s">
        <v>5536</v>
      </c>
      <c r="K177" s="3" t="s">
        <v>5641</v>
      </c>
      <c r="L177" s="8" t="str">
        <f t="shared" si="1"/>
        <v xml:space="preserve">http://slimages.macys.com/is/image/MCY/16260743 </v>
      </c>
    </row>
    <row r="178" spans="1:12" ht="24.75" x14ac:dyDescent="0.25">
      <c r="A178" s="6" t="s">
        <v>6031</v>
      </c>
      <c r="B178" s="3" t="s">
        <v>6023</v>
      </c>
      <c r="C178" s="4">
        <v>1</v>
      </c>
      <c r="D178" s="5">
        <v>36.99</v>
      </c>
      <c r="E178" s="4" t="s">
        <v>6024</v>
      </c>
      <c r="F178" s="3" t="s">
        <v>5625</v>
      </c>
      <c r="G178" s="7"/>
      <c r="H178" s="3" t="s">
        <v>6026</v>
      </c>
      <c r="I178" s="3" t="s">
        <v>6027</v>
      </c>
      <c r="J178" s="3" t="s">
        <v>5536</v>
      </c>
      <c r="K178" s="3" t="s">
        <v>5641</v>
      </c>
      <c r="L178" s="8" t="str">
        <f t="shared" si="1"/>
        <v xml:space="preserve">http://slimages.macys.com/is/image/MCY/16260743 </v>
      </c>
    </row>
    <row r="179" spans="1:12" ht="24.75" x14ac:dyDescent="0.25">
      <c r="A179" s="6" t="s">
        <v>6032</v>
      </c>
      <c r="B179" s="3" t="s">
        <v>6023</v>
      </c>
      <c r="C179" s="4">
        <v>1</v>
      </c>
      <c r="D179" s="5">
        <v>36.99</v>
      </c>
      <c r="E179" s="4" t="s">
        <v>6024</v>
      </c>
      <c r="F179" s="3" t="s">
        <v>5625</v>
      </c>
      <c r="G179" s="7" t="s">
        <v>5768</v>
      </c>
      <c r="H179" s="3" t="s">
        <v>6026</v>
      </c>
      <c r="I179" s="3" t="s">
        <v>6027</v>
      </c>
      <c r="J179" s="3" t="s">
        <v>5536</v>
      </c>
      <c r="K179" s="3" t="s">
        <v>5641</v>
      </c>
      <c r="L179" s="8" t="str">
        <f t="shared" si="1"/>
        <v xml:space="preserve">http://slimages.macys.com/is/image/MCY/16260743 </v>
      </c>
    </row>
    <row r="180" spans="1:12" ht="24.75" x14ac:dyDescent="0.25">
      <c r="A180" s="6" t="s">
        <v>6033</v>
      </c>
      <c r="B180" s="3" t="s">
        <v>6034</v>
      </c>
      <c r="C180" s="4">
        <v>1</v>
      </c>
      <c r="D180" s="5">
        <v>36.99</v>
      </c>
      <c r="E180" s="4" t="s">
        <v>6035</v>
      </c>
      <c r="F180" s="3" t="s">
        <v>5793</v>
      </c>
      <c r="G180" s="7" t="s">
        <v>5764</v>
      </c>
      <c r="H180" s="3" t="s">
        <v>6026</v>
      </c>
      <c r="I180" s="3" t="s">
        <v>6027</v>
      </c>
      <c r="J180" s="3" t="s">
        <v>5536</v>
      </c>
      <c r="K180" s="3" t="s">
        <v>5641</v>
      </c>
      <c r="L180" s="8" t="str">
        <f>HYPERLINK("http://slimages.macys.com/is/image/MCY/15797564 ")</f>
        <v xml:space="preserve">http://slimages.macys.com/is/image/MCY/15797564 </v>
      </c>
    </row>
    <row r="181" spans="1:12" ht="24.75" x14ac:dyDescent="0.25">
      <c r="A181" s="6" t="s">
        <v>6036</v>
      </c>
      <c r="B181" s="3" t="s">
        <v>6034</v>
      </c>
      <c r="C181" s="4">
        <v>1</v>
      </c>
      <c r="D181" s="5">
        <v>36.99</v>
      </c>
      <c r="E181" s="4" t="s">
        <v>6035</v>
      </c>
      <c r="F181" s="3" t="s">
        <v>5793</v>
      </c>
      <c r="G181" s="7" t="s">
        <v>5824</v>
      </c>
      <c r="H181" s="3" t="s">
        <v>6026</v>
      </c>
      <c r="I181" s="3" t="s">
        <v>6027</v>
      </c>
      <c r="J181" s="3" t="s">
        <v>5536</v>
      </c>
      <c r="K181" s="3" t="s">
        <v>5641</v>
      </c>
      <c r="L181" s="8" t="str">
        <f>HYPERLINK("http://slimages.macys.com/is/image/MCY/15797564 ")</f>
        <v xml:space="preserve">http://slimages.macys.com/is/image/MCY/15797564 </v>
      </c>
    </row>
    <row r="182" spans="1:12" ht="24.75" x14ac:dyDescent="0.25">
      <c r="A182" s="6" t="s">
        <v>6037</v>
      </c>
      <c r="B182" s="3" t="s">
        <v>6034</v>
      </c>
      <c r="C182" s="4">
        <v>1</v>
      </c>
      <c r="D182" s="5">
        <v>36.99</v>
      </c>
      <c r="E182" s="4" t="s">
        <v>6035</v>
      </c>
      <c r="F182" s="3" t="s">
        <v>5793</v>
      </c>
      <c r="G182" s="7" t="s">
        <v>5768</v>
      </c>
      <c r="H182" s="3" t="s">
        <v>6026</v>
      </c>
      <c r="I182" s="3" t="s">
        <v>6027</v>
      </c>
      <c r="J182" s="3" t="s">
        <v>5536</v>
      </c>
      <c r="K182" s="3" t="s">
        <v>5641</v>
      </c>
      <c r="L182" s="8" t="str">
        <f>HYPERLINK("http://slimages.macys.com/is/image/MCY/15797564 ")</f>
        <v xml:space="preserve">http://slimages.macys.com/is/image/MCY/15797564 </v>
      </c>
    </row>
    <row r="183" spans="1:12" ht="24.75" x14ac:dyDescent="0.25">
      <c r="A183" s="6" t="s">
        <v>6038</v>
      </c>
      <c r="B183" s="3" t="s">
        <v>6034</v>
      </c>
      <c r="C183" s="4">
        <v>1</v>
      </c>
      <c r="D183" s="5">
        <v>36.99</v>
      </c>
      <c r="E183" s="4" t="s">
        <v>6035</v>
      </c>
      <c r="F183" s="3" t="s">
        <v>5793</v>
      </c>
      <c r="G183" s="7" t="s">
        <v>5755</v>
      </c>
      <c r="H183" s="3" t="s">
        <v>6026</v>
      </c>
      <c r="I183" s="3" t="s">
        <v>6027</v>
      </c>
      <c r="J183" s="3" t="s">
        <v>5536</v>
      </c>
      <c r="K183" s="3" t="s">
        <v>5641</v>
      </c>
      <c r="L183" s="8" t="str">
        <f>HYPERLINK("http://slimages.macys.com/is/image/MCY/15797564 ")</f>
        <v xml:space="preserve">http://slimages.macys.com/is/image/MCY/15797564 </v>
      </c>
    </row>
    <row r="184" spans="1:12" ht="24.75" x14ac:dyDescent="0.25">
      <c r="A184" s="6" t="s">
        <v>6039</v>
      </c>
      <c r="B184" s="3" t="s">
        <v>6023</v>
      </c>
      <c r="C184" s="4">
        <v>1</v>
      </c>
      <c r="D184" s="5">
        <v>36.99</v>
      </c>
      <c r="E184" s="4" t="s">
        <v>6024</v>
      </c>
      <c r="F184" s="3" t="s">
        <v>5625</v>
      </c>
      <c r="G184" s="7"/>
      <c r="H184" s="3" t="s">
        <v>6026</v>
      </c>
      <c r="I184" s="3" t="s">
        <v>6027</v>
      </c>
      <c r="J184" s="3" t="s">
        <v>5536</v>
      </c>
      <c r="K184" s="3" t="s">
        <v>5641</v>
      </c>
      <c r="L184" s="8" t="str">
        <f>HYPERLINK("http://slimages.macys.com/is/image/MCY/16260743 ")</f>
        <v xml:space="preserve">http://slimages.macys.com/is/image/MCY/16260743 </v>
      </c>
    </row>
    <row r="185" spans="1:12" ht="24.75" x14ac:dyDescent="0.25">
      <c r="A185" s="6" t="s">
        <v>6040</v>
      </c>
      <c r="B185" s="3" t="s">
        <v>6041</v>
      </c>
      <c r="C185" s="4">
        <v>1</v>
      </c>
      <c r="D185" s="5">
        <v>32.99</v>
      </c>
      <c r="E185" s="4" t="s">
        <v>6042</v>
      </c>
      <c r="F185" s="3" t="s">
        <v>5604</v>
      </c>
      <c r="G185" s="7" t="s">
        <v>5573</v>
      </c>
      <c r="H185" s="3" t="s">
        <v>5892</v>
      </c>
      <c r="I185" s="3" t="s">
        <v>5893</v>
      </c>
      <c r="J185" s="3" t="s">
        <v>5536</v>
      </c>
      <c r="K185" s="3" t="s">
        <v>5984</v>
      </c>
      <c r="L185" s="8" t="str">
        <f>HYPERLINK("http://slimages.macys.com/is/image/MCY/15362630 ")</f>
        <v xml:space="preserve">http://slimages.macys.com/is/image/MCY/15362630 </v>
      </c>
    </row>
    <row r="186" spans="1:12" ht="24.75" x14ac:dyDescent="0.25">
      <c r="A186" s="6" t="s">
        <v>6043</v>
      </c>
      <c r="B186" s="3" t="s">
        <v>6023</v>
      </c>
      <c r="C186" s="4">
        <v>1</v>
      </c>
      <c r="D186" s="5">
        <v>36.99</v>
      </c>
      <c r="E186" s="4" t="s">
        <v>6024</v>
      </c>
      <c r="F186" s="3" t="s">
        <v>5625</v>
      </c>
      <c r="G186" s="7"/>
      <c r="H186" s="3" t="s">
        <v>6026</v>
      </c>
      <c r="I186" s="3" t="s">
        <v>6027</v>
      </c>
      <c r="J186" s="3" t="s">
        <v>5536</v>
      </c>
      <c r="K186" s="3" t="s">
        <v>5641</v>
      </c>
      <c r="L186" s="8" t="str">
        <f>HYPERLINK("http://slimages.macys.com/is/image/MCY/16260743 ")</f>
        <v xml:space="preserve">http://slimages.macys.com/is/image/MCY/16260743 </v>
      </c>
    </row>
    <row r="187" spans="1:12" ht="24.75" x14ac:dyDescent="0.25">
      <c r="A187" s="6" t="s">
        <v>6044</v>
      </c>
      <c r="B187" s="3" t="s">
        <v>6045</v>
      </c>
      <c r="C187" s="4">
        <v>1</v>
      </c>
      <c r="D187" s="5">
        <v>36.99</v>
      </c>
      <c r="E187" s="4" t="s">
        <v>6046</v>
      </c>
      <c r="F187" s="3" t="s">
        <v>5604</v>
      </c>
      <c r="G187" s="7" t="s">
        <v>5764</v>
      </c>
      <c r="H187" s="3" t="s">
        <v>6026</v>
      </c>
      <c r="I187" s="3" t="s">
        <v>6027</v>
      </c>
      <c r="J187" s="3" t="s">
        <v>5536</v>
      </c>
      <c r="K187" s="3" t="s">
        <v>5641</v>
      </c>
      <c r="L187" s="8" t="str">
        <f>HYPERLINK("http://slimages.macys.com/is/image/MCY/14722493 ")</f>
        <v xml:space="preserve">http://slimages.macys.com/is/image/MCY/14722493 </v>
      </c>
    </row>
    <row r="188" spans="1:12" x14ac:dyDescent="0.25">
      <c r="A188" s="6" t="s">
        <v>6047</v>
      </c>
      <c r="B188" s="3" t="s">
        <v>6048</v>
      </c>
      <c r="C188" s="4">
        <v>1</v>
      </c>
      <c r="D188" s="5">
        <v>34.99</v>
      </c>
      <c r="E188" s="4" t="s">
        <v>6049</v>
      </c>
      <c r="F188" s="3" t="s">
        <v>5625</v>
      </c>
      <c r="G188" s="7" t="s">
        <v>5596</v>
      </c>
      <c r="H188" s="3" t="s">
        <v>6003</v>
      </c>
      <c r="I188" s="3" t="s">
        <v>6004</v>
      </c>
      <c r="J188" s="3" t="s">
        <v>5536</v>
      </c>
      <c r="K188" s="3" t="s">
        <v>6021</v>
      </c>
      <c r="L188" s="8" t="str">
        <f>HYPERLINK("http://slimages.macys.com/is/image/MCY/10293526 ")</f>
        <v xml:space="preserve">http://slimages.macys.com/is/image/MCY/10293526 </v>
      </c>
    </row>
    <row r="189" spans="1:12" x14ac:dyDescent="0.25">
      <c r="A189" s="6" t="s">
        <v>6050</v>
      </c>
      <c r="B189" s="3" t="s">
        <v>6048</v>
      </c>
      <c r="C189" s="4">
        <v>1</v>
      </c>
      <c r="D189" s="5">
        <v>34.99</v>
      </c>
      <c r="E189" s="4" t="s">
        <v>6049</v>
      </c>
      <c r="F189" s="3" t="s">
        <v>5625</v>
      </c>
      <c r="G189" s="7" t="s">
        <v>5560</v>
      </c>
      <c r="H189" s="3" t="s">
        <v>6003</v>
      </c>
      <c r="I189" s="3" t="s">
        <v>6004</v>
      </c>
      <c r="J189" s="3" t="s">
        <v>5536</v>
      </c>
      <c r="K189" s="3" t="s">
        <v>6021</v>
      </c>
      <c r="L189" s="8" t="str">
        <f>HYPERLINK("http://slimages.macys.com/is/image/MCY/10293526 ")</f>
        <v xml:space="preserve">http://slimages.macys.com/is/image/MCY/10293526 </v>
      </c>
    </row>
    <row r="190" spans="1:12" ht="24.75" x14ac:dyDescent="0.25">
      <c r="A190" s="6" t="s">
        <v>6051</v>
      </c>
      <c r="B190" s="3" t="s">
        <v>6052</v>
      </c>
      <c r="C190" s="4">
        <v>1</v>
      </c>
      <c r="D190" s="5">
        <v>44.99</v>
      </c>
      <c r="E190" s="4" t="s">
        <v>6053</v>
      </c>
      <c r="F190" s="3" t="s">
        <v>5964</v>
      </c>
      <c r="G190" s="7" t="s">
        <v>5533</v>
      </c>
      <c r="H190" s="3" t="s">
        <v>5978</v>
      </c>
      <c r="I190" s="3" t="s">
        <v>5979</v>
      </c>
      <c r="J190" s="3" t="s">
        <v>5536</v>
      </c>
      <c r="K190" s="3" t="s">
        <v>5553</v>
      </c>
      <c r="L190" s="8" t="str">
        <f>HYPERLINK("http://slimages.macys.com/is/image/MCY/14335950 ")</f>
        <v xml:space="preserve">http://slimages.macys.com/is/image/MCY/14335950 </v>
      </c>
    </row>
    <row r="191" spans="1:12" x14ac:dyDescent="0.25">
      <c r="A191" s="6" t="s">
        <v>6054</v>
      </c>
      <c r="B191" s="3" t="s">
        <v>6055</v>
      </c>
      <c r="C191" s="4">
        <v>1</v>
      </c>
      <c r="D191" s="5">
        <v>60</v>
      </c>
      <c r="E191" s="4">
        <v>100081879</v>
      </c>
      <c r="F191" s="3" t="s">
        <v>5783</v>
      </c>
      <c r="G191" s="7" t="s">
        <v>5562</v>
      </c>
      <c r="H191" s="3" t="s">
        <v>5585</v>
      </c>
      <c r="I191" s="3" t="s">
        <v>5734</v>
      </c>
      <c r="J191" s="3" t="s">
        <v>5536</v>
      </c>
      <c r="K191" s="3" t="s">
        <v>5574</v>
      </c>
      <c r="L191" s="8" t="str">
        <f>HYPERLINK("http://slimages.macys.com/is/image/MCY/15861732 ")</f>
        <v xml:space="preserve">http://slimages.macys.com/is/image/MCY/15861732 </v>
      </c>
    </row>
    <row r="192" spans="1:12" ht="24.75" x14ac:dyDescent="0.25">
      <c r="A192" s="6" t="s">
        <v>6056</v>
      </c>
      <c r="B192" s="3" t="s">
        <v>6057</v>
      </c>
      <c r="C192" s="4">
        <v>1</v>
      </c>
      <c r="D192" s="5">
        <v>48</v>
      </c>
      <c r="E192" s="4">
        <v>70076</v>
      </c>
      <c r="F192" s="3" t="s">
        <v>5540</v>
      </c>
      <c r="G192" s="7" t="s">
        <v>5562</v>
      </c>
      <c r="H192" s="3" t="s">
        <v>5842</v>
      </c>
      <c r="I192" s="3" t="s">
        <v>5843</v>
      </c>
      <c r="J192" s="3" t="s">
        <v>5536</v>
      </c>
      <c r="K192" s="3" t="s">
        <v>6058</v>
      </c>
      <c r="L192" s="8" t="str">
        <f>HYPERLINK("http://slimages.macys.com/is/image/MCY/15001355 ")</f>
        <v xml:space="preserve">http://slimages.macys.com/is/image/MCY/15001355 </v>
      </c>
    </row>
    <row r="193" spans="1:12" ht="24.75" x14ac:dyDescent="0.25">
      <c r="A193" s="6" t="s">
        <v>6059</v>
      </c>
      <c r="B193" s="3" t="s">
        <v>6060</v>
      </c>
      <c r="C193" s="4">
        <v>1</v>
      </c>
      <c r="D193" s="5">
        <v>40</v>
      </c>
      <c r="E193" s="4" t="s">
        <v>6061</v>
      </c>
      <c r="F193" s="3" t="s">
        <v>5977</v>
      </c>
      <c r="G193" s="7" t="s">
        <v>5560</v>
      </c>
      <c r="H193" s="3" t="s">
        <v>6019</v>
      </c>
      <c r="I193" s="3" t="s">
        <v>6020</v>
      </c>
      <c r="J193" s="3" t="s">
        <v>5536</v>
      </c>
      <c r="K193" s="3" t="s">
        <v>5574</v>
      </c>
      <c r="L193" s="8" t="str">
        <f>HYPERLINK("http://slimages.macys.com/is/image/MCY/14616602 ")</f>
        <v xml:space="preserve">http://slimages.macys.com/is/image/MCY/14616602 </v>
      </c>
    </row>
    <row r="194" spans="1:12" ht="24.75" x14ac:dyDescent="0.25">
      <c r="A194" s="6" t="s">
        <v>6062</v>
      </c>
      <c r="B194" s="3" t="s">
        <v>6063</v>
      </c>
      <c r="C194" s="4">
        <v>1</v>
      </c>
      <c r="D194" s="5">
        <v>39.99</v>
      </c>
      <c r="E194" s="4" t="s">
        <v>6064</v>
      </c>
      <c r="F194" s="3" t="s">
        <v>5540</v>
      </c>
      <c r="G194" s="7" t="s">
        <v>5560</v>
      </c>
      <c r="H194" s="3" t="s">
        <v>6065</v>
      </c>
      <c r="I194" s="3" t="s">
        <v>6066</v>
      </c>
      <c r="J194" s="3" t="s">
        <v>5536</v>
      </c>
      <c r="K194" s="3" t="s">
        <v>6067</v>
      </c>
      <c r="L194" s="8" t="str">
        <f>HYPERLINK("http://slimages.macys.com/is/image/MCY/15368747 ")</f>
        <v xml:space="preserve">http://slimages.macys.com/is/image/MCY/15368747 </v>
      </c>
    </row>
    <row r="195" spans="1:12" x14ac:dyDescent="0.25">
      <c r="A195" s="6" t="s">
        <v>6068</v>
      </c>
      <c r="B195" s="3" t="s">
        <v>6069</v>
      </c>
      <c r="C195" s="4">
        <v>1</v>
      </c>
      <c r="D195" s="5">
        <v>42.99</v>
      </c>
      <c r="E195" s="4" t="s">
        <v>6070</v>
      </c>
      <c r="F195" s="3" t="s">
        <v>5578</v>
      </c>
      <c r="G195" s="7" t="s">
        <v>5560</v>
      </c>
      <c r="H195" s="3" t="s">
        <v>6003</v>
      </c>
      <c r="I195" s="3" t="s">
        <v>6004</v>
      </c>
      <c r="J195" s="3" t="s">
        <v>5536</v>
      </c>
      <c r="K195" s="3" t="s">
        <v>6071</v>
      </c>
      <c r="L195" s="8" t="str">
        <f>HYPERLINK("http://slimages.macys.com/is/image/MCY/14352159 ")</f>
        <v xml:space="preserve">http://slimages.macys.com/is/image/MCY/14352159 </v>
      </c>
    </row>
    <row r="196" spans="1:12" x14ac:dyDescent="0.25">
      <c r="A196" s="6" t="s">
        <v>6072</v>
      </c>
      <c r="B196" s="3" t="s">
        <v>6073</v>
      </c>
      <c r="C196" s="4">
        <v>1</v>
      </c>
      <c r="D196" s="5">
        <v>39.99</v>
      </c>
      <c r="E196" s="4" t="s">
        <v>6074</v>
      </c>
      <c r="F196" s="3" t="s">
        <v>6075</v>
      </c>
      <c r="G196" s="7" t="s">
        <v>5560</v>
      </c>
      <c r="H196" s="3" t="s">
        <v>6065</v>
      </c>
      <c r="I196" s="3" t="s">
        <v>6066</v>
      </c>
      <c r="J196" s="3" t="s">
        <v>5536</v>
      </c>
      <c r="K196" s="3" t="s">
        <v>5594</v>
      </c>
      <c r="L196" s="8" t="str">
        <f>HYPERLINK("http://slimages.macys.com/is/image/MCY/14825708 ")</f>
        <v xml:space="preserve">http://slimages.macys.com/is/image/MCY/14825708 </v>
      </c>
    </row>
    <row r="197" spans="1:12" x14ac:dyDescent="0.25">
      <c r="A197" s="6" t="s">
        <v>6076</v>
      </c>
      <c r="B197" s="3" t="s">
        <v>6077</v>
      </c>
      <c r="C197" s="4">
        <v>1</v>
      </c>
      <c r="D197" s="5">
        <v>39.99</v>
      </c>
      <c r="E197" s="4" t="s">
        <v>6078</v>
      </c>
      <c r="F197" s="3" t="s">
        <v>5540</v>
      </c>
      <c r="G197" s="7" t="s">
        <v>5562</v>
      </c>
      <c r="H197" s="3" t="s">
        <v>6065</v>
      </c>
      <c r="I197" s="3" t="s">
        <v>6066</v>
      </c>
      <c r="J197" s="3" t="s">
        <v>5536</v>
      </c>
      <c r="K197" s="3" t="s">
        <v>5594</v>
      </c>
      <c r="L197" s="8" t="str">
        <f>HYPERLINK("http://slimages.macys.com/is/image/MCY/14825531 ")</f>
        <v xml:space="preserve">http://slimages.macys.com/is/image/MCY/14825531 </v>
      </c>
    </row>
    <row r="198" spans="1:12" ht="24.75" x14ac:dyDescent="0.25">
      <c r="A198" s="6" t="s">
        <v>6079</v>
      </c>
      <c r="B198" s="3" t="s">
        <v>6080</v>
      </c>
      <c r="C198" s="4">
        <v>3</v>
      </c>
      <c r="D198" s="5">
        <v>115.38</v>
      </c>
      <c r="E198" s="4" t="s">
        <v>6081</v>
      </c>
      <c r="F198" s="3" t="s">
        <v>5661</v>
      </c>
      <c r="G198" s="7" t="s">
        <v>5898</v>
      </c>
      <c r="H198" s="3" t="s">
        <v>5842</v>
      </c>
      <c r="I198" s="3" t="s">
        <v>6082</v>
      </c>
      <c r="J198" s="3" t="s">
        <v>5536</v>
      </c>
      <c r="K198" s="3" t="s">
        <v>5984</v>
      </c>
      <c r="L198" s="8" t="str">
        <f>HYPERLINK("http://slimages.macys.com/is/image/MCY/14313585 ")</f>
        <v xml:space="preserve">http://slimages.macys.com/is/image/MCY/14313585 </v>
      </c>
    </row>
    <row r="199" spans="1:12" ht="24.75" x14ac:dyDescent="0.25">
      <c r="A199" s="6" t="s">
        <v>6083</v>
      </c>
      <c r="B199" s="3" t="s">
        <v>6084</v>
      </c>
      <c r="C199" s="4">
        <v>1</v>
      </c>
      <c r="D199" s="5">
        <v>38.46</v>
      </c>
      <c r="E199" s="4" t="s">
        <v>6085</v>
      </c>
      <c r="F199" s="3" t="s">
        <v>5540</v>
      </c>
      <c r="G199" s="7" t="s">
        <v>5898</v>
      </c>
      <c r="H199" s="3" t="s">
        <v>5842</v>
      </c>
      <c r="I199" s="3" t="s">
        <v>6082</v>
      </c>
      <c r="J199" s="3" t="s">
        <v>5536</v>
      </c>
      <c r="K199" s="3" t="s">
        <v>5984</v>
      </c>
      <c r="L199" s="8" t="str">
        <f>HYPERLINK("http://slimages.macys.com/is/image/MCY/15121454 ")</f>
        <v xml:space="preserve">http://slimages.macys.com/is/image/MCY/15121454 </v>
      </c>
    </row>
    <row r="200" spans="1:12" x14ac:dyDescent="0.25">
      <c r="A200" s="6" t="s">
        <v>6086</v>
      </c>
      <c r="B200" s="3" t="s">
        <v>6087</v>
      </c>
      <c r="C200" s="4">
        <v>1</v>
      </c>
      <c r="D200" s="5">
        <v>65</v>
      </c>
      <c r="E200" s="4">
        <v>100082392</v>
      </c>
      <c r="F200" s="3" t="s">
        <v>5977</v>
      </c>
      <c r="G200" s="7" t="s">
        <v>5596</v>
      </c>
      <c r="H200" s="3" t="s">
        <v>5585</v>
      </c>
      <c r="I200" s="3" t="s">
        <v>5734</v>
      </c>
      <c r="J200" s="3" t="s">
        <v>5536</v>
      </c>
      <c r="K200" s="3" t="s">
        <v>6088</v>
      </c>
      <c r="L200" s="8" t="str">
        <f>HYPERLINK("http://slimages.macys.com/is/image/MCY/15862234 ")</f>
        <v xml:space="preserve">http://slimages.macys.com/is/image/MCY/15862234 </v>
      </c>
    </row>
    <row r="201" spans="1:12" x14ac:dyDescent="0.25">
      <c r="A201" s="6" t="s">
        <v>6089</v>
      </c>
      <c r="B201" s="3" t="s">
        <v>6087</v>
      </c>
      <c r="C201" s="4">
        <v>1</v>
      </c>
      <c r="D201" s="5">
        <v>65</v>
      </c>
      <c r="E201" s="4">
        <v>100082392</v>
      </c>
      <c r="F201" s="3" t="s">
        <v>5977</v>
      </c>
      <c r="G201" s="7" t="s">
        <v>5598</v>
      </c>
      <c r="H201" s="3" t="s">
        <v>5585</v>
      </c>
      <c r="I201" s="3" t="s">
        <v>5734</v>
      </c>
      <c r="J201" s="3" t="s">
        <v>5536</v>
      </c>
      <c r="K201" s="3" t="s">
        <v>6088</v>
      </c>
      <c r="L201" s="8" t="str">
        <f>HYPERLINK("http://slimages.macys.com/is/image/MCY/15862234 ")</f>
        <v xml:space="preserve">http://slimages.macys.com/is/image/MCY/15862234 </v>
      </c>
    </row>
    <row r="202" spans="1:12" ht="24.75" x14ac:dyDescent="0.25">
      <c r="A202" s="6" t="s">
        <v>6090</v>
      </c>
      <c r="B202" s="3" t="s">
        <v>6091</v>
      </c>
      <c r="C202" s="4">
        <v>1</v>
      </c>
      <c r="D202" s="5">
        <v>69.5</v>
      </c>
      <c r="E202" s="4">
        <v>100066537</v>
      </c>
      <c r="F202" s="3" t="s">
        <v>5793</v>
      </c>
      <c r="G202" s="7" t="s">
        <v>5685</v>
      </c>
      <c r="H202" s="3" t="s">
        <v>5955</v>
      </c>
      <c r="I202" s="3" t="s">
        <v>5956</v>
      </c>
      <c r="J202" s="3" t="s">
        <v>5536</v>
      </c>
      <c r="K202" s="3" t="s">
        <v>6092</v>
      </c>
      <c r="L202" s="8" t="str">
        <f>HYPERLINK("http://slimages.macys.com/is/image/MCY/13286589 ")</f>
        <v xml:space="preserve">http://slimages.macys.com/is/image/MCY/13286589 </v>
      </c>
    </row>
    <row r="203" spans="1:12" ht="36.75" x14ac:dyDescent="0.25">
      <c r="A203" s="6" t="s">
        <v>6093</v>
      </c>
      <c r="B203" s="3" t="s">
        <v>6094</v>
      </c>
      <c r="C203" s="4">
        <v>1</v>
      </c>
      <c r="D203" s="5">
        <v>36.25</v>
      </c>
      <c r="E203" s="4" t="s">
        <v>6095</v>
      </c>
      <c r="F203" s="3" t="s">
        <v>5540</v>
      </c>
      <c r="G203" s="7" t="s">
        <v>5596</v>
      </c>
      <c r="H203" s="3" t="s">
        <v>5842</v>
      </c>
      <c r="I203" s="3" t="s">
        <v>5843</v>
      </c>
      <c r="J203" s="3" t="s">
        <v>5536</v>
      </c>
      <c r="K203" s="3" t="s">
        <v>6096</v>
      </c>
      <c r="L203" s="8" t="str">
        <f>HYPERLINK("http://slimages.macys.com/is/image/MCY/14507447 ")</f>
        <v xml:space="preserve">http://slimages.macys.com/is/image/MCY/14507447 </v>
      </c>
    </row>
    <row r="204" spans="1:12" ht="72.75" x14ac:dyDescent="0.25">
      <c r="A204" s="6" t="s">
        <v>6097</v>
      </c>
      <c r="B204" s="3" t="s">
        <v>6098</v>
      </c>
      <c r="C204" s="4">
        <v>1</v>
      </c>
      <c r="D204" s="5">
        <v>36.25</v>
      </c>
      <c r="E204" s="4" t="s">
        <v>6099</v>
      </c>
      <c r="F204" s="3" t="s">
        <v>5540</v>
      </c>
      <c r="G204" s="7" t="s">
        <v>5533</v>
      </c>
      <c r="H204" s="3" t="s">
        <v>5842</v>
      </c>
      <c r="I204" s="3" t="s">
        <v>5843</v>
      </c>
      <c r="J204" s="3" t="s">
        <v>5536</v>
      </c>
      <c r="K204" s="3" t="s">
        <v>6100</v>
      </c>
      <c r="L204" s="8" t="str">
        <f>HYPERLINK("http://slimages.macys.com/is/image/MCY/14506916 ")</f>
        <v xml:space="preserve">http://slimages.macys.com/is/image/MCY/14506916 </v>
      </c>
    </row>
    <row r="205" spans="1:12" ht="72.75" x14ac:dyDescent="0.25">
      <c r="A205" s="6" t="s">
        <v>6101</v>
      </c>
      <c r="B205" s="3" t="s">
        <v>6098</v>
      </c>
      <c r="C205" s="4">
        <v>1</v>
      </c>
      <c r="D205" s="5">
        <v>36.25</v>
      </c>
      <c r="E205" s="4" t="s">
        <v>6099</v>
      </c>
      <c r="F205" s="3" t="s">
        <v>5540</v>
      </c>
      <c r="G205" s="7" t="s">
        <v>5596</v>
      </c>
      <c r="H205" s="3" t="s">
        <v>5842</v>
      </c>
      <c r="I205" s="3" t="s">
        <v>5843</v>
      </c>
      <c r="J205" s="3" t="s">
        <v>5536</v>
      </c>
      <c r="K205" s="3" t="s">
        <v>6100</v>
      </c>
      <c r="L205" s="8" t="str">
        <f>HYPERLINK("http://slimages.macys.com/is/image/MCY/14506916 ")</f>
        <v xml:space="preserve">http://slimages.macys.com/is/image/MCY/14506916 </v>
      </c>
    </row>
    <row r="206" spans="1:12" ht="36.75" x14ac:dyDescent="0.25">
      <c r="A206" s="6" t="s">
        <v>6102</v>
      </c>
      <c r="B206" s="3" t="s">
        <v>6094</v>
      </c>
      <c r="C206" s="4">
        <v>1</v>
      </c>
      <c r="D206" s="5">
        <v>36.25</v>
      </c>
      <c r="E206" s="4" t="s">
        <v>6095</v>
      </c>
      <c r="F206" s="3" t="s">
        <v>5540</v>
      </c>
      <c r="G206" s="7" t="s">
        <v>5562</v>
      </c>
      <c r="H206" s="3" t="s">
        <v>5842</v>
      </c>
      <c r="I206" s="3" t="s">
        <v>5843</v>
      </c>
      <c r="J206" s="3" t="s">
        <v>5536</v>
      </c>
      <c r="K206" s="3" t="s">
        <v>6096</v>
      </c>
      <c r="L206" s="8" t="str">
        <f>HYPERLINK("http://slimages.macys.com/is/image/MCY/14507447 ")</f>
        <v xml:space="preserve">http://slimages.macys.com/is/image/MCY/14507447 </v>
      </c>
    </row>
    <row r="207" spans="1:12" ht="84.75" x14ac:dyDescent="0.25">
      <c r="A207" s="6" t="s">
        <v>6103</v>
      </c>
      <c r="B207" s="3" t="s">
        <v>6104</v>
      </c>
      <c r="C207" s="4">
        <v>3</v>
      </c>
      <c r="D207" s="5">
        <v>108.75</v>
      </c>
      <c r="E207" s="4" t="s">
        <v>6105</v>
      </c>
      <c r="F207" s="3" t="s">
        <v>5540</v>
      </c>
      <c r="G207" s="7" t="s">
        <v>5596</v>
      </c>
      <c r="H207" s="3" t="s">
        <v>5842</v>
      </c>
      <c r="I207" s="3" t="s">
        <v>5843</v>
      </c>
      <c r="J207" s="3" t="s">
        <v>5536</v>
      </c>
      <c r="K207" s="3" t="s">
        <v>6106</v>
      </c>
      <c r="L207" s="8" t="str">
        <f>HYPERLINK("http://slimages.macys.com/is/image/MCY/14506653 ")</f>
        <v xml:space="preserve">http://slimages.macys.com/is/image/MCY/14506653 </v>
      </c>
    </row>
    <row r="208" spans="1:12" ht="36.75" x14ac:dyDescent="0.25">
      <c r="A208" s="6" t="s">
        <v>6107</v>
      </c>
      <c r="B208" s="3" t="s">
        <v>6094</v>
      </c>
      <c r="C208" s="4">
        <v>2</v>
      </c>
      <c r="D208" s="5">
        <v>72.5</v>
      </c>
      <c r="E208" s="4" t="s">
        <v>6095</v>
      </c>
      <c r="F208" s="3" t="s">
        <v>5540</v>
      </c>
      <c r="G208" s="7" t="s">
        <v>5533</v>
      </c>
      <c r="H208" s="3" t="s">
        <v>5842</v>
      </c>
      <c r="I208" s="3" t="s">
        <v>5843</v>
      </c>
      <c r="J208" s="3" t="s">
        <v>5536</v>
      </c>
      <c r="K208" s="3" t="s">
        <v>6096</v>
      </c>
      <c r="L208" s="8" t="str">
        <f>HYPERLINK("http://slimages.macys.com/is/image/MCY/14507447 ")</f>
        <v xml:space="preserve">http://slimages.macys.com/is/image/MCY/14507447 </v>
      </c>
    </row>
    <row r="209" spans="1:12" ht="84.75" x14ac:dyDescent="0.25">
      <c r="A209" s="6" t="s">
        <v>6108</v>
      </c>
      <c r="B209" s="3" t="s">
        <v>6104</v>
      </c>
      <c r="C209" s="4">
        <v>1</v>
      </c>
      <c r="D209" s="5">
        <v>36.25</v>
      </c>
      <c r="E209" s="4" t="s">
        <v>6105</v>
      </c>
      <c r="F209" s="3" t="s">
        <v>5540</v>
      </c>
      <c r="G209" s="7" t="s">
        <v>5562</v>
      </c>
      <c r="H209" s="3" t="s">
        <v>5842</v>
      </c>
      <c r="I209" s="3" t="s">
        <v>5843</v>
      </c>
      <c r="J209" s="3" t="s">
        <v>5536</v>
      </c>
      <c r="K209" s="3" t="s">
        <v>6106</v>
      </c>
      <c r="L209" s="8" t="str">
        <f>HYPERLINK("http://slimages.macys.com/is/image/MCY/14506653 ")</f>
        <v xml:space="preserve">http://slimages.macys.com/is/image/MCY/14506653 </v>
      </c>
    </row>
    <row r="210" spans="1:12" ht="84.75" x14ac:dyDescent="0.25">
      <c r="A210" s="6" t="s">
        <v>6109</v>
      </c>
      <c r="B210" s="3" t="s">
        <v>6104</v>
      </c>
      <c r="C210" s="4">
        <v>5</v>
      </c>
      <c r="D210" s="5">
        <v>181.25</v>
      </c>
      <c r="E210" s="4" t="s">
        <v>6105</v>
      </c>
      <c r="F210" s="3" t="s">
        <v>5540</v>
      </c>
      <c r="G210" s="7" t="s">
        <v>5533</v>
      </c>
      <c r="H210" s="3" t="s">
        <v>5842</v>
      </c>
      <c r="I210" s="3" t="s">
        <v>5843</v>
      </c>
      <c r="J210" s="3" t="s">
        <v>5536</v>
      </c>
      <c r="K210" s="3" t="s">
        <v>6106</v>
      </c>
      <c r="L210" s="8" t="str">
        <f>HYPERLINK("http://slimages.macys.com/is/image/MCY/14506653 ")</f>
        <v xml:space="preserve">http://slimages.macys.com/is/image/MCY/14506653 </v>
      </c>
    </row>
    <row r="211" spans="1:12" ht="24.75" x14ac:dyDescent="0.25">
      <c r="A211" s="6" t="s">
        <v>6110</v>
      </c>
      <c r="B211" s="3" t="s">
        <v>6111</v>
      </c>
      <c r="C211" s="4">
        <v>1</v>
      </c>
      <c r="D211" s="5">
        <v>69.5</v>
      </c>
      <c r="E211" s="4">
        <v>100029708</v>
      </c>
      <c r="F211" s="3" t="s">
        <v>5540</v>
      </c>
      <c r="G211" s="7" t="s">
        <v>5631</v>
      </c>
      <c r="H211" s="3" t="s">
        <v>5955</v>
      </c>
      <c r="I211" s="3" t="s">
        <v>5956</v>
      </c>
      <c r="J211" s="3" t="s">
        <v>5536</v>
      </c>
      <c r="K211" s="3" t="s">
        <v>6092</v>
      </c>
      <c r="L211" s="8" t="str">
        <f>HYPERLINK("http://slimages.macys.com/is/image/MCY/9916325 ")</f>
        <v xml:space="preserve">http://slimages.macys.com/is/image/MCY/9916325 </v>
      </c>
    </row>
    <row r="212" spans="1:12" ht="24.75" x14ac:dyDescent="0.25">
      <c r="A212" s="6" t="s">
        <v>6112</v>
      </c>
      <c r="B212" s="3" t="s">
        <v>6113</v>
      </c>
      <c r="C212" s="4">
        <v>2</v>
      </c>
      <c r="D212" s="5">
        <v>90</v>
      </c>
      <c r="E212" s="4" t="s">
        <v>6114</v>
      </c>
      <c r="F212" s="3" t="s">
        <v>5532</v>
      </c>
      <c r="G212" s="7" t="s">
        <v>5562</v>
      </c>
      <c r="H212" s="3" t="s">
        <v>6019</v>
      </c>
      <c r="I212" s="3" t="s">
        <v>6020</v>
      </c>
      <c r="J212" s="3" t="s">
        <v>5536</v>
      </c>
      <c r="K212" s="3" t="s">
        <v>6115</v>
      </c>
      <c r="L212" s="8" t="str">
        <f>HYPERLINK("http://slimages.macys.com/is/image/MCY/15241663 ")</f>
        <v xml:space="preserve">http://slimages.macys.com/is/image/MCY/15241663 </v>
      </c>
    </row>
    <row r="213" spans="1:12" ht="24.75" x14ac:dyDescent="0.25">
      <c r="A213" s="6" t="s">
        <v>6116</v>
      </c>
      <c r="B213" s="3" t="s">
        <v>6117</v>
      </c>
      <c r="C213" s="4">
        <v>1</v>
      </c>
      <c r="D213" s="5">
        <v>25</v>
      </c>
      <c r="E213" s="4">
        <v>1344226</v>
      </c>
      <c r="F213" s="3" t="s">
        <v>5532</v>
      </c>
      <c r="G213" s="7" t="s">
        <v>5598</v>
      </c>
      <c r="H213" s="3" t="s">
        <v>5726</v>
      </c>
      <c r="I213" s="3" t="s">
        <v>5726</v>
      </c>
      <c r="J213" s="3" t="s">
        <v>5536</v>
      </c>
      <c r="K213" s="3" t="s">
        <v>5574</v>
      </c>
      <c r="L213" s="8" t="str">
        <f>HYPERLINK("http://slimages.macys.com/is/image/MCY/14442473 ")</f>
        <v xml:space="preserve">http://slimages.macys.com/is/image/MCY/14442473 </v>
      </c>
    </row>
    <row r="214" spans="1:12" ht="24.75" x14ac:dyDescent="0.25">
      <c r="A214" s="6" t="s">
        <v>6118</v>
      </c>
      <c r="B214" s="3" t="s">
        <v>6117</v>
      </c>
      <c r="C214" s="4">
        <v>1</v>
      </c>
      <c r="D214" s="5">
        <v>25</v>
      </c>
      <c r="E214" s="4">
        <v>1344226</v>
      </c>
      <c r="F214" s="3" t="s">
        <v>5625</v>
      </c>
      <c r="G214" s="7" t="s">
        <v>5560</v>
      </c>
      <c r="H214" s="3" t="s">
        <v>5726</v>
      </c>
      <c r="I214" s="3" t="s">
        <v>5726</v>
      </c>
      <c r="J214" s="3" t="s">
        <v>5536</v>
      </c>
      <c r="K214" s="3" t="s">
        <v>5574</v>
      </c>
      <c r="L214" s="8" t="str">
        <f>HYPERLINK("http://slimages.macys.com/is/image/MCY/14442473 ")</f>
        <v xml:space="preserve">http://slimages.macys.com/is/image/MCY/14442473 </v>
      </c>
    </row>
    <row r="215" spans="1:12" ht="72.75" x14ac:dyDescent="0.25">
      <c r="A215" s="6" t="s">
        <v>6119</v>
      </c>
      <c r="B215" s="3" t="s">
        <v>6120</v>
      </c>
      <c r="C215" s="4">
        <v>3</v>
      </c>
      <c r="D215" s="5">
        <v>103.14</v>
      </c>
      <c r="E215" s="4" t="s">
        <v>6121</v>
      </c>
      <c r="F215" s="3" t="s">
        <v>5540</v>
      </c>
      <c r="G215" s="7" t="s">
        <v>5533</v>
      </c>
      <c r="H215" s="3" t="s">
        <v>5842</v>
      </c>
      <c r="I215" s="3" t="s">
        <v>5843</v>
      </c>
      <c r="J215" s="3" t="s">
        <v>5536</v>
      </c>
      <c r="K215" s="3" t="s">
        <v>6122</v>
      </c>
      <c r="L215" s="8" t="str">
        <f>HYPERLINK("http://slimages.macys.com/is/image/MCY/15251818 ")</f>
        <v xml:space="preserve">http://slimages.macys.com/is/image/MCY/15251818 </v>
      </c>
    </row>
    <row r="216" spans="1:12" ht="72.75" x14ac:dyDescent="0.25">
      <c r="A216" s="6" t="s">
        <v>6123</v>
      </c>
      <c r="B216" s="3" t="s">
        <v>6120</v>
      </c>
      <c r="C216" s="4">
        <v>1</v>
      </c>
      <c r="D216" s="5">
        <v>34.380000000000003</v>
      </c>
      <c r="E216" s="4" t="s">
        <v>6121</v>
      </c>
      <c r="F216" s="3" t="s">
        <v>5540</v>
      </c>
      <c r="G216" s="7" t="s">
        <v>5562</v>
      </c>
      <c r="H216" s="3" t="s">
        <v>5842</v>
      </c>
      <c r="I216" s="3" t="s">
        <v>5843</v>
      </c>
      <c r="J216" s="3" t="s">
        <v>5536</v>
      </c>
      <c r="K216" s="3" t="s">
        <v>6122</v>
      </c>
      <c r="L216" s="8" t="str">
        <f>HYPERLINK("http://slimages.macys.com/is/image/MCY/15251818 ")</f>
        <v xml:space="preserve">http://slimages.macys.com/is/image/MCY/15251818 </v>
      </c>
    </row>
    <row r="217" spans="1:12" ht="72.75" x14ac:dyDescent="0.25">
      <c r="A217" s="6" t="s">
        <v>6124</v>
      </c>
      <c r="B217" s="3" t="s">
        <v>6120</v>
      </c>
      <c r="C217" s="4">
        <v>5</v>
      </c>
      <c r="D217" s="5">
        <v>171.9</v>
      </c>
      <c r="E217" s="4" t="s">
        <v>6121</v>
      </c>
      <c r="F217" s="3" t="s">
        <v>5540</v>
      </c>
      <c r="G217" s="7" t="s">
        <v>5596</v>
      </c>
      <c r="H217" s="3" t="s">
        <v>5842</v>
      </c>
      <c r="I217" s="3" t="s">
        <v>5843</v>
      </c>
      <c r="J217" s="3" t="s">
        <v>5536</v>
      </c>
      <c r="K217" s="3" t="s">
        <v>6122</v>
      </c>
      <c r="L217" s="8" t="str">
        <f>HYPERLINK("http://slimages.macys.com/is/image/MCY/15251818 ")</f>
        <v xml:space="preserve">http://slimages.macys.com/is/image/MCY/15251818 </v>
      </c>
    </row>
    <row r="218" spans="1:12" x14ac:dyDescent="0.25">
      <c r="A218" s="6" t="s">
        <v>6125</v>
      </c>
      <c r="B218" s="3" t="s">
        <v>6126</v>
      </c>
      <c r="C218" s="4">
        <v>1</v>
      </c>
      <c r="D218" s="5">
        <v>44.99</v>
      </c>
      <c r="E218" s="4" t="s">
        <v>6127</v>
      </c>
      <c r="F218" s="3" t="s">
        <v>5540</v>
      </c>
      <c r="G218" s="7" t="s">
        <v>5598</v>
      </c>
      <c r="H218" s="3" t="s">
        <v>5978</v>
      </c>
      <c r="I218" s="3" t="s">
        <v>5979</v>
      </c>
      <c r="J218" s="3" t="s">
        <v>5536</v>
      </c>
      <c r="K218" s="3" t="s">
        <v>5594</v>
      </c>
      <c r="L218" s="8" t="str">
        <f>HYPERLINK("http://slimages.macys.com/is/image/MCY/15349437 ")</f>
        <v xml:space="preserve">http://slimages.macys.com/is/image/MCY/15349437 </v>
      </c>
    </row>
    <row r="219" spans="1:12" ht="24.75" x14ac:dyDescent="0.25">
      <c r="A219" s="6" t="s">
        <v>6128</v>
      </c>
      <c r="B219" s="3" t="s">
        <v>6129</v>
      </c>
      <c r="C219" s="4">
        <v>1</v>
      </c>
      <c r="D219" s="5">
        <v>33.630000000000003</v>
      </c>
      <c r="E219" s="4" t="s">
        <v>6130</v>
      </c>
      <c r="F219" s="3" t="s">
        <v>5640</v>
      </c>
      <c r="G219" s="7" t="s">
        <v>5560</v>
      </c>
      <c r="H219" s="3" t="s">
        <v>6131</v>
      </c>
      <c r="I219" s="3" t="s">
        <v>6132</v>
      </c>
      <c r="J219" s="3" t="s">
        <v>5536</v>
      </c>
      <c r="K219" s="3" t="s">
        <v>6133</v>
      </c>
      <c r="L219" s="8" t="str">
        <f>HYPERLINK("http://slimages.macys.com/is/image/MCY/8283522 ")</f>
        <v xml:space="preserve">http://slimages.macys.com/is/image/MCY/8283522 </v>
      </c>
    </row>
    <row r="220" spans="1:12" ht="24.75" x14ac:dyDescent="0.25">
      <c r="A220" s="6" t="s">
        <v>6134</v>
      </c>
      <c r="B220" s="3" t="s">
        <v>6135</v>
      </c>
      <c r="C220" s="4">
        <v>1</v>
      </c>
      <c r="D220" s="5">
        <v>40</v>
      </c>
      <c r="E220" s="4" t="s">
        <v>6136</v>
      </c>
      <c r="F220" s="3" t="s">
        <v>5532</v>
      </c>
      <c r="G220" s="7" t="s">
        <v>5562</v>
      </c>
      <c r="H220" s="3" t="s">
        <v>6019</v>
      </c>
      <c r="I220" s="3" t="s">
        <v>6020</v>
      </c>
      <c r="J220" s="3"/>
      <c r="K220" s="3" t="s">
        <v>5549</v>
      </c>
      <c r="L220" s="8" t="str">
        <f>HYPERLINK("http://slimages.macys.com/is/image/MCY/15630012 ")</f>
        <v xml:space="preserve">http://slimages.macys.com/is/image/MCY/15630012 </v>
      </c>
    </row>
    <row r="221" spans="1:12" ht="36.75" x14ac:dyDescent="0.25">
      <c r="A221" s="6" t="s">
        <v>6137</v>
      </c>
      <c r="B221" s="3" t="s">
        <v>6138</v>
      </c>
      <c r="C221" s="4">
        <v>2</v>
      </c>
      <c r="D221" s="5">
        <v>67.260000000000005</v>
      </c>
      <c r="E221" s="4" t="s">
        <v>6139</v>
      </c>
      <c r="F221" s="3" t="s">
        <v>5625</v>
      </c>
      <c r="G221" s="7" t="s">
        <v>5533</v>
      </c>
      <c r="H221" s="3" t="s">
        <v>6131</v>
      </c>
      <c r="I221" s="3" t="s">
        <v>6132</v>
      </c>
      <c r="J221" s="3" t="s">
        <v>5536</v>
      </c>
      <c r="K221" s="3" t="s">
        <v>6140</v>
      </c>
      <c r="L221" s="8" t="str">
        <f>HYPERLINK("http://slimages.macys.com/is/image/MCY/13059429 ")</f>
        <v xml:space="preserve">http://slimages.macys.com/is/image/MCY/13059429 </v>
      </c>
    </row>
    <row r="222" spans="1:12" ht="24.75" x14ac:dyDescent="0.25">
      <c r="A222" s="6" t="s">
        <v>6141</v>
      </c>
      <c r="B222" s="3" t="s">
        <v>6142</v>
      </c>
      <c r="C222" s="4">
        <v>1</v>
      </c>
      <c r="D222" s="5">
        <v>45</v>
      </c>
      <c r="E222" s="4" t="s">
        <v>6143</v>
      </c>
      <c r="F222" s="3" t="s">
        <v>5532</v>
      </c>
      <c r="G222" s="7" t="s">
        <v>5560</v>
      </c>
      <c r="H222" s="3" t="s">
        <v>6019</v>
      </c>
      <c r="I222" s="3" t="s">
        <v>6020</v>
      </c>
      <c r="J222" s="3" t="s">
        <v>5536</v>
      </c>
      <c r="K222" s="3" t="s">
        <v>5549</v>
      </c>
      <c r="L222" s="8" t="str">
        <f>HYPERLINK("http://slimages.macys.com/is/image/MCY/12932078 ")</f>
        <v xml:space="preserve">http://slimages.macys.com/is/image/MCY/12932078 </v>
      </c>
    </row>
    <row r="223" spans="1:12" x14ac:dyDescent="0.25">
      <c r="A223" s="6" t="s">
        <v>6144</v>
      </c>
      <c r="B223" s="3" t="s">
        <v>6145</v>
      </c>
      <c r="C223" s="4">
        <v>1</v>
      </c>
      <c r="D223" s="5">
        <v>49.5</v>
      </c>
      <c r="E223" s="4">
        <v>100019061</v>
      </c>
      <c r="F223" s="3" t="s">
        <v>6146</v>
      </c>
      <c r="G223" s="7" t="s">
        <v>6147</v>
      </c>
      <c r="H223" s="3" t="s">
        <v>5585</v>
      </c>
      <c r="I223" s="3" t="s">
        <v>5734</v>
      </c>
      <c r="J223" s="3" t="s">
        <v>5536</v>
      </c>
      <c r="K223" s="3" t="s">
        <v>6021</v>
      </c>
      <c r="L223" s="8" t="str">
        <f>HYPERLINK("http://slimages.macys.com/is/image/MCY/9778147 ")</f>
        <v xml:space="preserve">http://slimages.macys.com/is/image/MCY/9778147 </v>
      </c>
    </row>
    <row r="224" spans="1:12" x14ac:dyDescent="0.25">
      <c r="A224" s="6" t="s">
        <v>6148</v>
      </c>
      <c r="B224" s="3" t="s">
        <v>6149</v>
      </c>
      <c r="C224" s="4">
        <v>2</v>
      </c>
      <c r="D224" s="5">
        <v>89.98</v>
      </c>
      <c r="E224" s="4" t="s">
        <v>6150</v>
      </c>
      <c r="F224" s="3" t="s">
        <v>5610</v>
      </c>
      <c r="G224" s="7" t="s">
        <v>5560</v>
      </c>
      <c r="H224" s="3" t="s">
        <v>5978</v>
      </c>
      <c r="I224" s="3" t="s">
        <v>5979</v>
      </c>
      <c r="J224" s="3" t="s">
        <v>5536</v>
      </c>
      <c r="K224" s="3" t="s">
        <v>5574</v>
      </c>
      <c r="L224" s="8" t="str">
        <f>HYPERLINK("http://slimages.macys.com/is/image/MCY/15571655 ")</f>
        <v xml:space="preserve">http://slimages.macys.com/is/image/MCY/15571655 </v>
      </c>
    </row>
    <row r="225" spans="1:12" x14ac:dyDescent="0.25">
      <c r="A225" s="6" t="s">
        <v>6151</v>
      </c>
      <c r="B225" s="3" t="s">
        <v>6152</v>
      </c>
      <c r="C225" s="4">
        <v>1</v>
      </c>
      <c r="D225" s="5">
        <v>69.5</v>
      </c>
      <c r="E225" s="4">
        <v>100088385</v>
      </c>
      <c r="F225" s="3" t="s">
        <v>5540</v>
      </c>
      <c r="G225" s="7" t="s">
        <v>5533</v>
      </c>
      <c r="H225" s="3" t="s">
        <v>5585</v>
      </c>
      <c r="I225" s="3" t="s">
        <v>5586</v>
      </c>
      <c r="J225" s="3" t="s">
        <v>5536</v>
      </c>
      <c r="K225" s="3" t="s">
        <v>6153</v>
      </c>
      <c r="L225" s="8" t="str">
        <f>HYPERLINK("http://slimages.macys.com/is/image/MCY/15669142 ")</f>
        <v xml:space="preserve">http://slimages.macys.com/is/image/MCY/15669142 </v>
      </c>
    </row>
    <row r="226" spans="1:12" x14ac:dyDescent="0.25">
      <c r="A226" s="6" t="s">
        <v>6154</v>
      </c>
      <c r="B226" s="3" t="s">
        <v>6155</v>
      </c>
      <c r="C226" s="4">
        <v>1</v>
      </c>
      <c r="D226" s="5">
        <v>39.979999999999997</v>
      </c>
      <c r="E226" s="4" t="s">
        <v>6156</v>
      </c>
      <c r="F226" s="3" t="s">
        <v>5532</v>
      </c>
      <c r="G226" s="7" t="s">
        <v>5694</v>
      </c>
      <c r="H226" s="3" t="s">
        <v>5585</v>
      </c>
      <c r="I226" s="3" t="s">
        <v>5586</v>
      </c>
      <c r="J226" s="3" t="s">
        <v>5536</v>
      </c>
      <c r="K226" s="3" t="s">
        <v>6157</v>
      </c>
      <c r="L226" s="8" t="str">
        <f>HYPERLINK("http://slimages.macys.com/is/image/MCY/8803309 ")</f>
        <v xml:space="preserve">http://slimages.macys.com/is/image/MCY/8803309 </v>
      </c>
    </row>
    <row r="227" spans="1:12" x14ac:dyDescent="0.25">
      <c r="A227" s="6" t="s">
        <v>6158</v>
      </c>
      <c r="B227" s="3" t="s">
        <v>6159</v>
      </c>
      <c r="C227" s="4">
        <v>1</v>
      </c>
      <c r="D227" s="5">
        <v>34.99</v>
      </c>
      <c r="E227" s="4" t="s">
        <v>6160</v>
      </c>
      <c r="F227" s="3" t="s">
        <v>5532</v>
      </c>
      <c r="G227" s="7" t="s">
        <v>5598</v>
      </c>
      <c r="H227" s="3" t="s">
        <v>6003</v>
      </c>
      <c r="I227" s="3" t="s">
        <v>6004</v>
      </c>
      <c r="J227" s="3" t="s">
        <v>5536</v>
      </c>
      <c r="K227" s="3" t="s">
        <v>6021</v>
      </c>
      <c r="L227" s="8" t="str">
        <f>HYPERLINK("http://slimages.macys.com/is/image/MCY/14795970 ")</f>
        <v xml:space="preserve">http://slimages.macys.com/is/image/MCY/14795970 </v>
      </c>
    </row>
    <row r="228" spans="1:12" ht="24.75" x14ac:dyDescent="0.25">
      <c r="A228" s="6" t="s">
        <v>6161</v>
      </c>
      <c r="B228" s="3" t="s">
        <v>6162</v>
      </c>
      <c r="C228" s="4">
        <v>1</v>
      </c>
      <c r="D228" s="5">
        <v>34.43</v>
      </c>
      <c r="E228" s="4" t="s">
        <v>6163</v>
      </c>
      <c r="F228" s="3" t="s">
        <v>5540</v>
      </c>
      <c r="G228" s="7" t="s">
        <v>5898</v>
      </c>
      <c r="H228" s="3" t="s">
        <v>5842</v>
      </c>
      <c r="I228" s="3" t="s">
        <v>5904</v>
      </c>
      <c r="J228" s="3" t="s">
        <v>5536</v>
      </c>
      <c r="K228" s="3" t="s">
        <v>5984</v>
      </c>
      <c r="L228" s="8" t="str">
        <f>HYPERLINK("http://slimages.macys.com/is/image/MCY/14313339 ")</f>
        <v xml:space="preserve">http://slimages.macys.com/is/image/MCY/14313339 </v>
      </c>
    </row>
    <row r="229" spans="1:12" ht="24.75" x14ac:dyDescent="0.25">
      <c r="A229" s="6" t="s">
        <v>6164</v>
      </c>
      <c r="B229" s="3" t="s">
        <v>6165</v>
      </c>
      <c r="C229" s="4">
        <v>1</v>
      </c>
      <c r="D229" s="5">
        <v>32.99</v>
      </c>
      <c r="E229" s="4" t="s">
        <v>6166</v>
      </c>
      <c r="F229" s="3" t="s">
        <v>5540</v>
      </c>
      <c r="G229" s="7" t="s">
        <v>5898</v>
      </c>
      <c r="H229" s="3" t="s">
        <v>5842</v>
      </c>
      <c r="I229" s="3" t="s">
        <v>6082</v>
      </c>
      <c r="J229" s="3" t="s">
        <v>5536</v>
      </c>
      <c r="K229" s="3" t="s">
        <v>5984</v>
      </c>
      <c r="L229" s="8" t="str">
        <f>HYPERLINK("http://slimages.macys.com/is/image/MCY/14619267 ")</f>
        <v xml:space="preserve">http://slimages.macys.com/is/image/MCY/14619267 </v>
      </c>
    </row>
    <row r="230" spans="1:12" ht="36.75" x14ac:dyDescent="0.25">
      <c r="A230" s="6" t="s">
        <v>6167</v>
      </c>
      <c r="B230" s="3" t="s">
        <v>6168</v>
      </c>
      <c r="C230" s="4">
        <v>1</v>
      </c>
      <c r="D230" s="5">
        <v>31.88</v>
      </c>
      <c r="E230" s="4" t="s">
        <v>6169</v>
      </c>
      <c r="F230" s="3" t="s">
        <v>5803</v>
      </c>
      <c r="G230" s="7" t="s">
        <v>6170</v>
      </c>
      <c r="H230" s="3" t="s">
        <v>6131</v>
      </c>
      <c r="I230" s="3" t="s">
        <v>6171</v>
      </c>
      <c r="J230" s="3" t="s">
        <v>5536</v>
      </c>
      <c r="K230" s="3" t="s">
        <v>6172</v>
      </c>
      <c r="L230" s="8" t="str">
        <f>HYPERLINK("http://slimages.macys.com/is/image/MCY/8963063 ")</f>
        <v xml:space="preserve">http://slimages.macys.com/is/image/MCY/8963063 </v>
      </c>
    </row>
    <row r="231" spans="1:12" ht="36.75" x14ac:dyDescent="0.25">
      <c r="A231" s="6" t="s">
        <v>6173</v>
      </c>
      <c r="B231" s="3" t="s">
        <v>6174</v>
      </c>
      <c r="C231" s="4">
        <v>1</v>
      </c>
      <c r="D231" s="5">
        <v>31.75</v>
      </c>
      <c r="E231" s="4" t="s">
        <v>6175</v>
      </c>
      <c r="F231" s="3" t="s">
        <v>5540</v>
      </c>
      <c r="G231" s="7" t="s">
        <v>5562</v>
      </c>
      <c r="H231" s="3" t="s">
        <v>6131</v>
      </c>
      <c r="I231" s="3" t="s">
        <v>6132</v>
      </c>
      <c r="J231" s="3" t="s">
        <v>5536</v>
      </c>
      <c r="K231" s="3" t="s">
        <v>6176</v>
      </c>
      <c r="L231" s="8" t="str">
        <f>HYPERLINK("http://slimages.macys.com/is/image/MCY/11971970 ")</f>
        <v xml:space="preserve">http://slimages.macys.com/is/image/MCY/11971970 </v>
      </c>
    </row>
    <row r="232" spans="1:12" ht="36.75" x14ac:dyDescent="0.25">
      <c r="A232" s="6" t="s">
        <v>6177</v>
      </c>
      <c r="B232" s="3" t="s">
        <v>6178</v>
      </c>
      <c r="C232" s="4">
        <v>1</v>
      </c>
      <c r="D232" s="5">
        <v>31.75</v>
      </c>
      <c r="E232" s="4" t="s">
        <v>6179</v>
      </c>
      <c r="F232" s="3" t="s">
        <v>5803</v>
      </c>
      <c r="G232" s="7" t="s">
        <v>5533</v>
      </c>
      <c r="H232" s="3" t="s">
        <v>6131</v>
      </c>
      <c r="I232" s="3" t="s">
        <v>6132</v>
      </c>
      <c r="J232" s="3" t="s">
        <v>5536</v>
      </c>
      <c r="K232" s="3" t="s">
        <v>6180</v>
      </c>
      <c r="L232" s="8" t="str">
        <f>HYPERLINK("http://slimages.macys.com/is/image/MCY/9263297 ")</f>
        <v xml:space="preserve">http://slimages.macys.com/is/image/MCY/9263297 </v>
      </c>
    </row>
    <row r="233" spans="1:12" ht="36.75" x14ac:dyDescent="0.25">
      <c r="A233" s="6" t="s">
        <v>6181</v>
      </c>
      <c r="B233" s="3" t="s">
        <v>6182</v>
      </c>
      <c r="C233" s="4">
        <v>1</v>
      </c>
      <c r="D233" s="5">
        <v>31.75</v>
      </c>
      <c r="E233" s="4" t="s">
        <v>6183</v>
      </c>
      <c r="F233" s="3" t="s">
        <v>5625</v>
      </c>
      <c r="G233" s="7" t="s">
        <v>5560</v>
      </c>
      <c r="H233" s="3" t="s">
        <v>6131</v>
      </c>
      <c r="I233" s="3" t="s">
        <v>6132</v>
      </c>
      <c r="J233" s="3" t="s">
        <v>5536</v>
      </c>
      <c r="K233" s="3" t="s">
        <v>6176</v>
      </c>
      <c r="L233" s="8" t="str">
        <f>HYPERLINK("http://slimages.macys.com/is/image/MCY/10212864 ")</f>
        <v xml:space="preserve">http://slimages.macys.com/is/image/MCY/10212864 </v>
      </c>
    </row>
    <row r="234" spans="1:12" ht="36.75" x14ac:dyDescent="0.25">
      <c r="A234" s="6" t="s">
        <v>6184</v>
      </c>
      <c r="B234" s="3" t="s">
        <v>6174</v>
      </c>
      <c r="C234" s="4">
        <v>1</v>
      </c>
      <c r="D234" s="5">
        <v>31.75</v>
      </c>
      <c r="E234" s="4" t="s">
        <v>6175</v>
      </c>
      <c r="F234" s="3" t="s">
        <v>5540</v>
      </c>
      <c r="G234" s="7" t="s">
        <v>5533</v>
      </c>
      <c r="H234" s="3" t="s">
        <v>6131</v>
      </c>
      <c r="I234" s="3" t="s">
        <v>6132</v>
      </c>
      <c r="J234" s="3" t="s">
        <v>5536</v>
      </c>
      <c r="K234" s="3" t="s">
        <v>6176</v>
      </c>
      <c r="L234" s="8" t="str">
        <f>HYPERLINK("http://slimages.macys.com/is/image/MCY/11971970 ")</f>
        <v xml:space="preserve">http://slimages.macys.com/is/image/MCY/11971970 </v>
      </c>
    </row>
    <row r="235" spans="1:12" ht="24.75" x14ac:dyDescent="0.25">
      <c r="A235" s="6" t="s">
        <v>6185</v>
      </c>
      <c r="B235" s="3" t="s">
        <v>6186</v>
      </c>
      <c r="C235" s="4">
        <v>1</v>
      </c>
      <c r="D235" s="5">
        <v>39.99</v>
      </c>
      <c r="E235" s="4" t="s">
        <v>6187</v>
      </c>
      <c r="F235" s="3" t="s">
        <v>5640</v>
      </c>
      <c r="G235" s="7" t="s">
        <v>5533</v>
      </c>
      <c r="H235" s="3" t="s">
        <v>6065</v>
      </c>
      <c r="I235" s="3" t="s">
        <v>6066</v>
      </c>
      <c r="J235" s="3" t="s">
        <v>5536</v>
      </c>
      <c r="K235" s="3" t="s">
        <v>5864</v>
      </c>
      <c r="L235" s="8" t="str">
        <f>HYPERLINK("http://slimages.macys.com/is/image/MCY/15554075 ")</f>
        <v xml:space="preserve">http://slimages.macys.com/is/image/MCY/15554075 </v>
      </c>
    </row>
    <row r="236" spans="1:12" x14ac:dyDescent="0.25">
      <c r="A236" s="6" t="s">
        <v>6188</v>
      </c>
      <c r="B236" s="3" t="s">
        <v>6189</v>
      </c>
      <c r="C236" s="4">
        <v>1</v>
      </c>
      <c r="D236" s="5">
        <v>19.989999999999998</v>
      </c>
      <c r="E236" s="4" t="s">
        <v>6190</v>
      </c>
      <c r="F236" s="3" t="s">
        <v>5640</v>
      </c>
      <c r="G236" s="7" t="s">
        <v>5562</v>
      </c>
      <c r="H236" s="3" t="s">
        <v>5606</v>
      </c>
      <c r="I236" s="3" t="s">
        <v>5914</v>
      </c>
      <c r="J236" s="3" t="s">
        <v>5536</v>
      </c>
      <c r="K236" s="3" t="s">
        <v>5574</v>
      </c>
      <c r="L236" s="8" t="str">
        <f>HYPERLINK("http://slimages.macys.com/is/image/MCY/14907487 ")</f>
        <v xml:space="preserve">http://slimages.macys.com/is/image/MCY/14907487 </v>
      </c>
    </row>
    <row r="237" spans="1:12" x14ac:dyDescent="0.25">
      <c r="A237" s="6" t="s">
        <v>6191</v>
      </c>
      <c r="B237" s="3" t="s">
        <v>6189</v>
      </c>
      <c r="C237" s="4">
        <v>1</v>
      </c>
      <c r="D237" s="5">
        <v>19.989999999999998</v>
      </c>
      <c r="E237" s="4" t="s">
        <v>6190</v>
      </c>
      <c r="F237" s="3" t="s">
        <v>5640</v>
      </c>
      <c r="G237" s="7" t="s">
        <v>5533</v>
      </c>
      <c r="H237" s="3" t="s">
        <v>5606</v>
      </c>
      <c r="I237" s="3" t="s">
        <v>5914</v>
      </c>
      <c r="J237" s="3" t="s">
        <v>5536</v>
      </c>
      <c r="K237" s="3" t="s">
        <v>5574</v>
      </c>
      <c r="L237" s="8" t="str">
        <f>HYPERLINK("http://slimages.macys.com/is/image/MCY/14907487 ")</f>
        <v xml:space="preserve">http://slimages.macys.com/is/image/MCY/14907487 </v>
      </c>
    </row>
    <row r="238" spans="1:12" x14ac:dyDescent="0.25">
      <c r="A238" s="6" t="s">
        <v>6192</v>
      </c>
      <c r="B238" s="3" t="s">
        <v>6193</v>
      </c>
      <c r="C238" s="4">
        <v>1</v>
      </c>
      <c r="D238" s="5">
        <v>34.99</v>
      </c>
      <c r="E238" s="4" t="s">
        <v>6194</v>
      </c>
      <c r="F238" s="3" t="s">
        <v>5532</v>
      </c>
      <c r="G238" s="7" t="s">
        <v>5658</v>
      </c>
      <c r="H238" s="3" t="s">
        <v>6065</v>
      </c>
      <c r="I238" s="3" t="s">
        <v>6066</v>
      </c>
      <c r="J238" s="3" t="s">
        <v>5536</v>
      </c>
      <c r="K238" s="3" t="s">
        <v>6021</v>
      </c>
      <c r="L238" s="8" t="str">
        <f>HYPERLINK("http://slimages.macys.com/is/image/MCY/14889839 ")</f>
        <v xml:space="preserve">http://slimages.macys.com/is/image/MCY/14889839 </v>
      </c>
    </row>
    <row r="239" spans="1:12" x14ac:dyDescent="0.25">
      <c r="A239" s="6" t="s">
        <v>6195</v>
      </c>
      <c r="B239" s="3" t="s">
        <v>6196</v>
      </c>
      <c r="C239" s="4">
        <v>1</v>
      </c>
      <c r="D239" s="5">
        <v>39.99</v>
      </c>
      <c r="E239" s="4" t="s">
        <v>6197</v>
      </c>
      <c r="F239" s="3" t="s">
        <v>5625</v>
      </c>
      <c r="G239" s="7" t="s">
        <v>5560</v>
      </c>
      <c r="H239" s="3" t="s">
        <v>6065</v>
      </c>
      <c r="I239" s="3" t="s">
        <v>6066</v>
      </c>
      <c r="J239" s="3" t="s">
        <v>5536</v>
      </c>
      <c r="K239" s="3" t="s">
        <v>5549</v>
      </c>
      <c r="L239" s="8" t="str">
        <f>HYPERLINK("http://slimages.macys.com/is/image/MCY/14343314 ")</f>
        <v xml:space="preserve">http://slimages.macys.com/is/image/MCY/14343314 </v>
      </c>
    </row>
    <row r="240" spans="1:12" ht="24.75" x14ac:dyDescent="0.25">
      <c r="A240" s="6" t="s">
        <v>6198</v>
      </c>
      <c r="B240" s="3" t="s">
        <v>6199</v>
      </c>
      <c r="C240" s="4">
        <v>1</v>
      </c>
      <c r="D240" s="5">
        <v>30</v>
      </c>
      <c r="E240" s="4" t="s">
        <v>6200</v>
      </c>
      <c r="F240" s="3" t="s">
        <v>5540</v>
      </c>
      <c r="G240" s="7" t="s">
        <v>5596</v>
      </c>
      <c r="H240" s="3" t="s">
        <v>5842</v>
      </c>
      <c r="I240" s="3" t="s">
        <v>5843</v>
      </c>
      <c r="J240" s="3" t="s">
        <v>5536</v>
      </c>
      <c r="K240" s="3" t="s">
        <v>5727</v>
      </c>
      <c r="L240" s="8" t="str">
        <f>HYPERLINK("http://slimages.macys.com/is/image/MCY/14506440 ")</f>
        <v xml:space="preserve">http://slimages.macys.com/is/image/MCY/14506440 </v>
      </c>
    </row>
    <row r="241" spans="1:12" x14ac:dyDescent="0.25">
      <c r="A241" s="6" t="s">
        <v>6201</v>
      </c>
      <c r="B241" s="3" t="s">
        <v>6202</v>
      </c>
      <c r="C241" s="4">
        <v>1</v>
      </c>
      <c r="D241" s="5">
        <v>34.299999999999997</v>
      </c>
      <c r="E241" s="4" t="s">
        <v>6203</v>
      </c>
      <c r="F241" s="3" t="s">
        <v>5640</v>
      </c>
      <c r="G241" s="7" t="s">
        <v>5596</v>
      </c>
      <c r="H241" s="3" t="s">
        <v>6131</v>
      </c>
      <c r="I241" s="3" t="s">
        <v>6204</v>
      </c>
      <c r="J241" s="3" t="s">
        <v>5536</v>
      </c>
      <c r="K241" s="3" t="s">
        <v>6205</v>
      </c>
      <c r="L241" s="8" t="str">
        <f>HYPERLINK("http://slimages.macys.com/is/image/MCY/11452209 ")</f>
        <v xml:space="preserve">http://slimages.macys.com/is/image/MCY/11452209 </v>
      </c>
    </row>
    <row r="242" spans="1:12" x14ac:dyDescent="0.25">
      <c r="A242" s="6" t="s">
        <v>6206</v>
      </c>
      <c r="B242" s="3" t="s">
        <v>6207</v>
      </c>
      <c r="C242" s="4">
        <v>1</v>
      </c>
      <c r="D242" s="5">
        <v>30.77</v>
      </c>
      <c r="E242" s="4" t="s">
        <v>6208</v>
      </c>
      <c r="F242" s="3" t="s">
        <v>5640</v>
      </c>
      <c r="G242" s="7" t="s">
        <v>5596</v>
      </c>
      <c r="H242" s="3" t="s">
        <v>6131</v>
      </c>
      <c r="I242" s="3" t="s">
        <v>6132</v>
      </c>
      <c r="J242" s="3" t="s">
        <v>5536</v>
      </c>
      <c r="K242" s="3" t="s">
        <v>6133</v>
      </c>
      <c r="L242" s="8" t="str">
        <f>HYPERLINK("http://slimages.macys.com/is/image/MCY/9263292 ")</f>
        <v xml:space="preserve">http://slimages.macys.com/is/image/MCY/9263292 </v>
      </c>
    </row>
    <row r="243" spans="1:12" ht="24.75" x14ac:dyDescent="0.25">
      <c r="A243" s="6" t="s">
        <v>6209</v>
      </c>
      <c r="B243" s="3" t="s">
        <v>6199</v>
      </c>
      <c r="C243" s="4">
        <v>2</v>
      </c>
      <c r="D243" s="5">
        <v>60</v>
      </c>
      <c r="E243" s="4" t="s">
        <v>6200</v>
      </c>
      <c r="F243" s="3" t="s">
        <v>5540</v>
      </c>
      <c r="G243" s="7" t="s">
        <v>5562</v>
      </c>
      <c r="H243" s="3" t="s">
        <v>5842</v>
      </c>
      <c r="I243" s="3" t="s">
        <v>5843</v>
      </c>
      <c r="J243" s="3" t="s">
        <v>5536</v>
      </c>
      <c r="K243" s="3" t="s">
        <v>5727</v>
      </c>
      <c r="L243" s="8" t="str">
        <f>HYPERLINK("http://slimages.macys.com/is/image/MCY/14506440 ")</f>
        <v xml:space="preserve">http://slimages.macys.com/is/image/MCY/14506440 </v>
      </c>
    </row>
    <row r="244" spans="1:12" ht="24.75" x14ac:dyDescent="0.25">
      <c r="A244" s="6" t="s">
        <v>6210</v>
      </c>
      <c r="B244" s="3" t="s">
        <v>6199</v>
      </c>
      <c r="C244" s="4">
        <v>2</v>
      </c>
      <c r="D244" s="5">
        <v>60</v>
      </c>
      <c r="E244" s="4" t="s">
        <v>6200</v>
      </c>
      <c r="F244" s="3" t="s">
        <v>5540</v>
      </c>
      <c r="G244" s="7" t="s">
        <v>5533</v>
      </c>
      <c r="H244" s="3" t="s">
        <v>5842</v>
      </c>
      <c r="I244" s="3" t="s">
        <v>5843</v>
      </c>
      <c r="J244" s="3" t="s">
        <v>5536</v>
      </c>
      <c r="K244" s="3" t="s">
        <v>5727</v>
      </c>
      <c r="L244" s="8" t="str">
        <f>HYPERLINK("http://slimages.macys.com/is/image/MCY/14506440 ")</f>
        <v xml:space="preserve">http://slimages.macys.com/is/image/MCY/14506440 </v>
      </c>
    </row>
    <row r="245" spans="1:12" ht="24.75" x14ac:dyDescent="0.25">
      <c r="A245" s="6" t="s">
        <v>6211</v>
      </c>
      <c r="B245" s="3" t="s">
        <v>6212</v>
      </c>
      <c r="C245" s="4">
        <v>1</v>
      </c>
      <c r="D245" s="5">
        <v>19.989999999999998</v>
      </c>
      <c r="E245" s="4" t="s">
        <v>6213</v>
      </c>
      <c r="F245" s="3" t="s">
        <v>5616</v>
      </c>
      <c r="G245" s="7" t="s">
        <v>5596</v>
      </c>
      <c r="H245" s="3" t="s">
        <v>5606</v>
      </c>
      <c r="I245" s="3" t="s">
        <v>5914</v>
      </c>
      <c r="J245" s="3" t="s">
        <v>5536</v>
      </c>
      <c r="K245" s="3" t="s">
        <v>5574</v>
      </c>
      <c r="L245" s="8" t="str">
        <f>HYPERLINK("http://slimages.macys.com/is/image/MCY/11670675 ")</f>
        <v xml:space="preserve">http://slimages.macys.com/is/image/MCY/11670675 </v>
      </c>
    </row>
    <row r="246" spans="1:12" x14ac:dyDescent="0.25">
      <c r="A246" s="6" t="s">
        <v>6214</v>
      </c>
      <c r="B246" s="3" t="s">
        <v>6215</v>
      </c>
      <c r="C246" s="4">
        <v>1</v>
      </c>
      <c r="D246" s="5">
        <v>44.99</v>
      </c>
      <c r="E246" s="4" t="s">
        <v>6216</v>
      </c>
      <c r="F246" s="3" t="s">
        <v>6217</v>
      </c>
      <c r="G246" s="7" t="s">
        <v>5533</v>
      </c>
      <c r="H246" s="3" t="s">
        <v>5978</v>
      </c>
      <c r="I246" s="3" t="s">
        <v>5991</v>
      </c>
      <c r="J246" s="3" t="s">
        <v>5536</v>
      </c>
      <c r="K246" s="3" t="s">
        <v>6218</v>
      </c>
      <c r="L246" s="8" t="str">
        <f>HYPERLINK("http://slimages.macys.com/is/image/MCY/12781915 ")</f>
        <v xml:space="preserve">http://slimages.macys.com/is/image/MCY/12781915 </v>
      </c>
    </row>
    <row r="247" spans="1:12" x14ac:dyDescent="0.25">
      <c r="A247" s="6" t="s">
        <v>6219</v>
      </c>
      <c r="B247" s="3" t="s">
        <v>6220</v>
      </c>
      <c r="C247" s="4">
        <v>1</v>
      </c>
      <c r="D247" s="5">
        <v>39.99</v>
      </c>
      <c r="E247" s="4" t="s">
        <v>6221</v>
      </c>
      <c r="F247" s="3" t="s">
        <v>5625</v>
      </c>
      <c r="G247" s="7" t="s">
        <v>5562</v>
      </c>
      <c r="H247" s="3" t="s">
        <v>5978</v>
      </c>
      <c r="I247" s="3" t="s">
        <v>5979</v>
      </c>
      <c r="J247" s="3" t="s">
        <v>5536</v>
      </c>
      <c r="K247" s="3" t="s">
        <v>5594</v>
      </c>
      <c r="L247" s="8" t="str">
        <f>HYPERLINK("http://slimages.macys.com/is/image/MCY/15250442 ")</f>
        <v xml:space="preserve">http://slimages.macys.com/is/image/MCY/15250442 </v>
      </c>
    </row>
    <row r="248" spans="1:12" x14ac:dyDescent="0.25">
      <c r="A248" s="6" t="s">
        <v>6222</v>
      </c>
      <c r="B248" s="3" t="s">
        <v>6223</v>
      </c>
      <c r="C248" s="4">
        <v>1</v>
      </c>
      <c r="D248" s="5">
        <v>39.99</v>
      </c>
      <c r="E248" s="4" t="s">
        <v>6224</v>
      </c>
      <c r="F248" s="3" t="s">
        <v>6217</v>
      </c>
      <c r="G248" s="7" t="s">
        <v>5560</v>
      </c>
      <c r="H248" s="3" t="s">
        <v>5978</v>
      </c>
      <c r="I248" s="3" t="s">
        <v>5979</v>
      </c>
      <c r="J248" s="3" t="s">
        <v>5536</v>
      </c>
      <c r="K248" s="3" t="s">
        <v>5574</v>
      </c>
      <c r="L248" s="8" t="str">
        <f>HYPERLINK("http://slimages.macys.com/is/image/MCY/13830987 ")</f>
        <v xml:space="preserve">http://slimages.macys.com/is/image/MCY/13830987 </v>
      </c>
    </row>
    <row r="249" spans="1:12" ht="24.75" x14ac:dyDescent="0.25">
      <c r="A249" s="6" t="s">
        <v>6225</v>
      </c>
      <c r="B249" s="3" t="s">
        <v>6226</v>
      </c>
      <c r="C249" s="4">
        <v>1</v>
      </c>
      <c r="D249" s="5">
        <v>30.13</v>
      </c>
      <c r="E249" s="4" t="s">
        <v>6227</v>
      </c>
      <c r="F249" s="3" t="s">
        <v>5540</v>
      </c>
      <c r="G249" s="7" t="s">
        <v>5533</v>
      </c>
      <c r="H249" s="3" t="s">
        <v>5842</v>
      </c>
      <c r="I249" s="3" t="s">
        <v>5904</v>
      </c>
      <c r="J249" s="3" t="s">
        <v>5536</v>
      </c>
      <c r="K249" s="3" t="s">
        <v>6228</v>
      </c>
      <c r="L249" s="8" t="str">
        <f>HYPERLINK("http://slimages.macys.com/is/image/MCY/14618767 ")</f>
        <v xml:space="preserve">http://slimages.macys.com/is/image/MCY/14618767 </v>
      </c>
    </row>
    <row r="250" spans="1:12" ht="24.75" x14ac:dyDescent="0.25">
      <c r="A250" s="6" t="s">
        <v>6229</v>
      </c>
      <c r="B250" s="3" t="s">
        <v>6226</v>
      </c>
      <c r="C250" s="4">
        <v>2</v>
      </c>
      <c r="D250" s="5">
        <v>60.26</v>
      </c>
      <c r="E250" s="4" t="s">
        <v>6227</v>
      </c>
      <c r="F250" s="3" t="s">
        <v>5540</v>
      </c>
      <c r="G250" s="7" t="s">
        <v>5596</v>
      </c>
      <c r="H250" s="3" t="s">
        <v>5842</v>
      </c>
      <c r="I250" s="3" t="s">
        <v>5904</v>
      </c>
      <c r="J250" s="3" t="s">
        <v>5536</v>
      </c>
      <c r="K250" s="3" t="s">
        <v>6228</v>
      </c>
      <c r="L250" s="8" t="str">
        <f>HYPERLINK("http://slimages.macys.com/is/image/MCY/14618767 ")</f>
        <v xml:space="preserve">http://slimages.macys.com/is/image/MCY/14618767 </v>
      </c>
    </row>
    <row r="251" spans="1:12" ht="24.75" x14ac:dyDescent="0.25">
      <c r="A251" s="6" t="s">
        <v>6230</v>
      </c>
      <c r="B251" s="3" t="s">
        <v>6226</v>
      </c>
      <c r="C251" s="4">
        <v>2</v>
      </c>
      <c r="D251" s="5">
        <v>60.26</v>
      </c>
      <c r="E251" s="4" t="s">
        <v>6227</v>
      </c>
      <c r="F251" s="3" t="s">
        <v>5540</v>
      </c>
      <c r="G251" s="7" t="s">
        <v>5562</v>
      </c>
      <c r="H251" s="3" t="s">
        <v>5842</v>
      </c>
      <c r="I251" s="3" t="s">
        <v>5904</v>
      </c>
      <c r="J251" s="3" t="s">
        <v>5536</v>
      </c>
      <c r="K251" s="3" t="s">
        <v>6228</v>
      </c>
      <c r="L251" s="8" t="str">
        <f>HYPERLINK("http://slimages.macys.com/is/image/MCY/14618767 ")</f>
        <v xml:space="preserve">http://slimages.macys.com/is/image/MCY/14618767 </v>
      </c>
    </row>
    <row r="252" spans="1:12" ht="36.75" x14ac:dyDescent="0.25">
      <c r="A252" s="6" t="s">
        <v>6231</v>
      </c>
      <c r="B252" s="3" t="s">
        <v>6232</v>
      </c>
      <c r="C252" s="4">
        <v>2</v>
      </c>
      <c r="D252" s="5">
        <v>60.26</v>
      </c>
      <c r="E252" s="4" t="s">
        <v>6233</v>
      </c>
      <c r="F252" s="3" t="s">
        <v>5540</v>
      </c>
      <c r="G252" s="7" t="s">
        <v>5562</v>
      </c>
      <c r="H252" s="3" t="s">
        <v>5842</v>
      </c>
      <c r="I252" s="3" t="s">
        <v>5904</v>
      </c>
      <c r="J252" s="3" t="s">
        <v>5536</v>
      </c>
      <c r="K252" s="3" t="s">
        <v>6234</v>
      </c>
      <c r="L252" s="8" t="str">
        <f>HYPERLINK("http://slimages.macys.com/is/image/MCY/14618829 ")</f>
        <v xml:space="preserve">http://slimages.macys.com/is/image/MCY/14618829 </v>
      </c>
    </row>
    <row r="253" spans="1:12" ht="36.75" x14ac:dyDescent="0.25">
      <c r="A253" s="6" t="s">
        <v>6235</v>
      </c>
      <c r="B253" s="3" t="s">
        <v>6232</v>
      </c>
      <c r="C253" s="4">
        <v>3</v>
      </c>
      <c r="D253" s="5">
        <v>90.39</v>
      </c>
      <c r="E253" s="4" t="s">
        <v>6233</v>
      </c>
      <c r="F253" s="3" t="s">
        <v>5540</v>
      </c>
      <c r="G253" s="7" t="s">
        <v>5533</v>
      </c>
      <c r="H253" s="3" t="s">
        <v>5842</v>
      </c>
      <c r="I253" s="3" t="s">
        <v>5904</v>
      </c>
      <c r="J253" s="3" t="s">
        <v>5536</v>
      </c>
      <c r="K253" s="3" t="s">
        <v>6234</v>
      </c>
      <c r="L253" s="8" t="str">
        <f>HYPERLINK("http://slimages.macys.com/is/image/MCY/14618829 ")</f>
        <v xml:space="preserve">http://slimages.macys.com/is/image/MCY/14618829 </v>
      </c>
    </row>
    <row r="254" spans="1:12" x14ac:dyDescent="0.25">
      <c r="A254" s="6" t="s">
        <v>6236</v>
      </c>
      <c r="B254" s="3" t="s">
        <v>6237</v>
      </c>
      <c r="C254" s="4">
        <v>1</v>
      </c>
      <c r="D254" s="5">
        <v>37.99</v>
      </c>
      <c r="E254" s="4" t="s">
        <v>6238</v>
      </c>
      <c r="F254" s="3" t="s">
        <v>5540</v>
      </c>
      <c r="G254" s="7" t="s">
        <v>5596</v>
      </c>
      <c r="H254" s="3" t="s">
        <v>6065</v>
      </c>
      <c r="I254" s="3" t="s">
        <v>6066</v>
      </c>
      <c r="J254" s="3" t="s">
        <v>5536</v>
      </c>
      <c r="K254" s="3" t="s">
        <v>5553</v>
      </c>
      <c r="L254" s="8" t="str">
        <f>HYPERLINK("http://slimages.macys.com/is/image/MCY/8701849 ")</f>
        <v xml:space="preserve">http://slimages.macys.com/is/image/MCY/8701849 </v>
      </c>
    </row>
    <row r="255" spans="1:12" ht="24.75" x14ac:dyDescent="0.25">
      <c r="A255" s="6" t="s">
        <v>6239</v>
      </c>
      <c r="B255" s="3" t="s">
        <v>6240</v>
      </c>
      <c r="C255" s="4">
        <v>1</v>
      </c>
      <c r="D255" s="5">
        <v>39.99</v>
      </c>
      <c r="E255" s="4" t="s">
        <v>6241</v>
      </c>
      <c r="F255" s="3" t="s">
        <v>5625</v>
      </c>
      <c r="G255" s="7" t="s">
        <v>5562</v>
      </c>
      <c r="H255" s="3" t="s">
        <v>6065</v>
      </c>
      <c r="I255" s="3" t="s">
        <v>6066</v>
      </c>
      <c r="J255" s="3" t="s">
        <v>5536</v>
      </c>
      <c r="K255" s="3" t="s">
        <v>6242</v>
      </c>
      <c r="L255" s="8" t="str">
        <f>HYPERLINK("http://slimages.macys.com/is/image/MCY/11519449 ")</f>
        <v xml:space="preserve">http://slimages.macys.com/is/image/MCY/11519449 </v>
      </c>
    </row>
    <row r="256" spans="1:12" ht="24.75" x14ac:dyDescent="0.25">
      <c r="A256" s="6" t="s">
        <v>6243</v>
      </c>
      <c r="B256" s="3" t="s">
        <v>6244</v>
      </c>
      <c r="C256" s="4">
        <v>1</v>
      </c>
      <c r="D256" s="5">
        <v>39.99</v>
      </c>
      <c r="E256" s="4" t="s">
        <v>6245</v>
      </c>
      <c r="F256" s="3" t="s">
        <v>5532</v>
      </c>
      <c r="G256" s="7" t="s">
        <v>5562</v>
      </c>
      <c r="H256" s="3" t="s">
        <v>6065</v>
      </c>
      <c r="I256" s="3" t="s">
        <v>6066</v>
      </c>
      <c r="J256" s="3" t="s">
        <v>5536</v>
      </c>
      <c r="K256" s="3" t="s">
        <v>6242</v>
      </c>
      <c r="L256" s="8" t="str">
        <f>HYPERLINK("http://slimages.macys.com/is/image/MCY/11519449 ")</f>
        <v xml:space="preserve">http://slimages.macys.com/is/image/MCY/11519449 </v>
      </c>
    </row>
    <row r="257" spans="1:12" x14ac:dyDescent="0.25">
      <c r="A257" s="6" t="s">
        <v>6246</v>
      </c>
      <c r="B257" s="3" t="s">
        <v>6247</v>
      </c>
      <c r="C257" s="4">
        <v>1</v>
      </c>
      <c r="D257" s="5">
        <v>39.99</v>
      </c>
      <c r="E257" s="4" t="s">
        <v>6248</v>
      </c>
      <c r="F257" s="3" t="s">
        <v>5578</v>
      </c>
      <c r="G257" s="7" t="s">
        <v>5694</v>
      </c>
      <c r="H257" s="3" t="s">
        <v>6003</v>
      </c>
      <c r="I257" s="3" t="s">
        <v>6004</v>
      </c>
      <c r="J257" s="3" t="s">
        <v>5536</v>
      </c>
      <c r="K257" s="3" t="s">
        <v>6021</v>
      </c>
      <c r="L257" s="8" t="str">
        <f>HYPERLINK("http://slimages.macys.com/is/image/MCY/9265595 ")</f>
        <v xml:space="preserve">http://slimages.macys.com/is/image/MCY/9265595 </v>
      </c>
    </row>
    <row r="258" spans="1:12" ht="24.75" x14ac:dyDescent="0.25">
      <c r="A258" s="6" t="s">
        <v>6249</v>
      </c>
      <c r="B258" s="3" t="s">
        <v>6250</v>
      </c>
      <c r="C258" s="4">
        <v>1</v>
      </c>
      <c r="D258" s="5">
        <v>27.99</v>
      </c>
      <c r="E258" s="4" t="s">
        <v>6251</v>
      </c>
      <c r="F258" s="3" t="s">
        <v>5540</v>
      </c>
      <c r="G258" s="7" t="s">
        <v>6252</v>
      </c>
      <c r="H258" s="3" t="s">
        <v>5842</v>
      </c>
      <c r="I258" s="3" t="s">
        <v>6253</v>
      </c>
      <c r="J258" s="3" t="s">
        <v>5536</v>
      </c>
      <c r="K258" s="3" t="s">
        <v>6254</v>
      </c>
      <c r="L258" s="8" t="str">
        <f>HYPERLINK("http://slimages.macys.com/is/image/MCY/14370448 ")</f>
        <v xml:space="preserve">http://slimages.macys.com/is/image/MCY/14370448 </v>
      </c>
    </row>
    <row r="259" spans="1:12" ht="24.75" x14ac:dyDescent="0.25">
      <c r="A259" s="6" t="s">
        <v>6255</v>
      </c>
      <c r="B259" s="3" t="s">
        <v>6256</v>
      </c>
      <c r="C259" s="4">
        <v>2</v>
      </c>
      <c r="D259" s="5">
        <v>36</v>
      </c>
      <c r="E259" s="4" t="s">
        <v>6257</v>
      </c>
      <c r="F259" s="3" t="s">
        <v>5820</v>
      </c>
      <c r="G259" s="7"/>
      <c r="H259" s="3" t="s">
        <v>5606</v>
      </c>
      <c r="I259" s="3" t="s">
        <v>6258</v>
      </c>
      <c r="J259" s="3" t="s">
        <v>5536</v>
      </c>
      <c r="K259" s="3" t="s">
        <v>5549</v>
      </c>
      <c r="L259" s="8" t="str">
        <f>HYPERLINK("http://slimages.macys.com/is/image/MCY/10468131 ")</f>
        <v xml:space="preserve">http://slimages.macys.com/is/image/MCY/10468131 </v>
      </c>
    </row>
    <row r="260" spans="1:12" x14ac:dyDescent="0.25">
      <c r="A260" s="6" t="s">
        <v>6259</v>
      </c>
      <c r="B260" s="3" t="s">
        <v>6260</v>
      </c>
      <c r="C260" s="4">
        <v>1</v>
      </c>
      <c r="D260" s="5">
        <v>37.99</v>
      </c>
      <c r="E260" s="4" t="s">
        <v>6261</v>
      </c>
      <c r="F260" s="3" t="s">
        <v>5625</v>
      </c>
      <c r="G260" s="7" t="s">
        <v>5598</v>
      </c>
      <c r="H260" s="3" t="s">
        <v>6065</v>
      </c>
      <c r="I260" s="3" t="s">
        <v>6066</v>
      </c>
      <c r="J260" s="3" t="s">
        <v>5536</v>
      </c>
      <c r="K260" s="3" t="s">
        <v>5594</v>
      </c>
      <c r="L260" s="8" t="str">
        <f>HYPERLINK("http://slimages.macys.com/is/image/MCY/10069151 ")</f>
        <v xml:space="preserve">http://slimages.macys.com/is/image/MCY/10069151 </v>
      </c>
    </row>
    <row r="261" spans="1:12" ht="24.75" x14ac:dyDescent="0.25">
      <c r="A261" s="6" t="s">
        <v>6262</v>
      </c>
      <c r="B261" s="3" t="s">
        <v>6263</v>
      </c>
      <c r="C261" s="4">
        <v>1</v>
      </c>
      <c r="D261" s="5">
        <v>25.5</v>
      </c>
      <c r="E261" s="4" t="s">
        <v>6264</v>
      </c>
      <c r="F261" s="3" t="s">
        <v>5578</v>
      </c>
      <c r="G261" s="7"/>
      <c r="H261" s="3" t="s">
        <v>5825</v>
      </c>
      <c r="I261" s="3" t="s">
        <v>6265</v>
      </c>
      <c r="J261" s="3" t="s">
        <v>5536</v>
      </c>
      <c r="K261" s="3" t="s">
        <v>6266</v>
      </c>
      <c r="L261" s="8" t="str">
        <f>HYPERLINK("http://slimages.macys.com/is/image/MCY/11518029 ")</f>
        <v xml:space="preserve">http://slimages.macys.com/is/image/MCY/11518029 </v>
      </c>
    </row>
    <row r="262" spans="1:12" ht="24.75" x14ac:dyDescent="0.25">
      <c r="A262" s="6" t="s">
        <v>6267</v>
      </c>
      <c r="B262" s="3" t="s">
        <v>6263</v>
      </c>
      <c r="C262" s="4">
        <v>3</v>
      </c>
      <c r="D262" s="5">
        <v>76.5</v>
      </c>
      <c r="E262" s="4" t="s">
        <v>6264</v>
      </c>
      <c r="F262" s="3" t="s">
        <v>5578</v>
      </c>
      <c r="G262" s="7"/>
      <c r="H262" s="3" t="s">
        <v>5825</v>
      </c>
      <c r="I262" s="3" t="s">
        <v>6265</v>
      </c>
      <c r="J262" s="3" t="s">
        <v>5536</v>
      </c>
      <c r="K262" s="3" t="s">
        <v>6266</v>
      </c>
      <c r="L262" s="8" t="str">
        <f>HYPERLINK("http://slimages.macys.com/is/image/MCY/11518029 ")</f>
        <v xml:space="preserve">http://slimages.macys.com/is/image/MCY/11518029 </v>
      </c>
    </row>
    <row r="263" spans="1:12" x14ac:dyDescent="0.25">
      <c r="A263" s="6" t="s">
        <v>6268</v>
      </c>
      <c r="B263" s="3" t="s">
        <v>6269</v>
      </c>
      <c r="C263" s="4">
        <v>1</v>
      </c>
      <c r="D263" s="5">
        <v>39.99</v>
      </c>
      <c r="E263" s="4" t="s">
        <v>6270</v>
      </c>
      <c r="F263" s="3" t="s">
        <v>6271</v>
      </c>
      <c r="G263" s="7" t="s">
        <v>5596</v>
      </c>
      <c r="H263" s="3" t="s">
        <v>6065</v>
      </c>
      <c r="I263" s="3" t="s">
        <v>6066</v>
      </c>
      <c r="J263" s="3" t="s">
        <v>5536</v>
      </c>
      <c r="K263" s="3" t="s">
        <v>5594</v>
      </c>
      <c r="L263" s="8" t="str">
        <f>HYPERLINK("http://slimages.macys.com/is/image/MCY/15361335 ")</f>
        <v xml:space="preserve">http://slimages.macys.com/is/image/MCY/15361335 </v>
      </c>
    </row>
    <row r="264" spans="1:12" ht="24.75" x14ac:dyDescent="0.25">
      <c r="A264" s="6" t="s">
        <v>6272</v>
      </c>
      <c r="B264" s="3" t="s">
        <v>6273</v>
      </c>
      <c r="C264" s="4">
        <v>4</v>
      </c>
      <c r="D264" s="5">
        <v>100</v>
      </c>
      <c r="E264" s="4" t="s">
        <v>6274</v>
      </c>
      <c r="F264" s="3" t="s">
        <v>6275</v>
      </c>
      <c r="G264" s="7"/>
      <c r="H264" s="3" t="s">
        <v>5825</v>
      </c>
      <c r="I264" s="3" t="s">
        <v>6265</v>
      </c>
      <c r="J264" s="3" t="s">
        <v>5536</v>
      </c>
      <c r="K264" s="3" t="s">
        <v>6266</v>
      </c>
      <c r="L264" s="8" t="str">
        <f>HYPERLINK("http://slimages.macys.com/is/image/MCY/9710602 ")</f>
        <v xml:space="preserve">http://slimages.macys.com/is/image/MCY/9710602 </v>
      </c>
    </row>
    <row r="265" spans="1:12" ht="24.75" x14ac:dyDescent="0.25">
      <c r="A265" s="6" t="s">
        <v>6276</v>
      </c>
      <c r="B265" s="3" t="s">
        <v>6273</v>
      </c>
      <c r="C265" s="4">
        <v>1</v>
      </c>
      <c r="D265" s="5">
        <v>25</v>
      </c>
      <c r="E265" s="4" t="s">
        <v>6274</v>
      </c>
      <c r="F265" s="3" t="s">
        <v>6275</v>
      </c>
      <c r="G265" s="7"/>
      <c r="H265" s="3" t="s">
        <v>5825</v>
      </c>
      <c r="I265" s="3" t="s">
        <v>6265</v>
      </c>
      <c r="J265" s="3" t="s">
        <v>5536</v>
      </c>
      <c r="K265" s="3" t="s">
        <v>6266</v>
      </c>
      <c r="L265" s="8" t="str">
        <f>HYPERLINK("http://slimages.macys.com/is/image/MCY/9710602 ")</f>
        <v xml:space="preserve">http://slimages.macys.com/is/image/MCY/9710602 </v>
      </c>
    </row>
    <row r="266" spans="1:12" ht="24.75" x14ac:dyDescent="0.25">
      <c r="A266" s="6" t="s">
        <v>6277</v>
      </c>
      <c r="B266" s="3" t="s">
        <v>6273</v>
      </c>
      <c r="C266" s="4">
        <v>2</v>
      </c>
      <c r="D266" s="5">
        <v>50</v>
      </c>
      <c r="E266" s="4" t="s">
        <v>6274</v>
      </c>
      <c r="F266" s="3" t="s">
        <v>6275</v>
      </c>
      <c r="G266" s="7"/>
      <c r="H266" s="3" t="s">
        <v>5825</v>
      </c>
      <c r="I266" s="3" t="s">
        <v>6265</v>
      </c>
      <c r="J266" s="3" t="s">
        <v>5536</v>
      </c>
      <c r="K266" s="3" t="s">
        <v>6266</v>
      </c>
      <c r="L266" s="8" t="str">
        <f>HYPERLINK("http://slimages.macys.com/is/image/MCY/9710602 ")</f>
        <v xml:space="preserve">http://slimages.macys.com/is/image/MCY/9710602 </v>
      </c>
    </row>
    <row r="267" spans="1:12" ht="24.75" x14ac:dyDescent="0.25">
      <c r="A267" s="6" t="s">
        <v>6278</v>
      </c>
      <c r="B267" s="3" t="s">
        <v>6279</v>
      </c>
      <c r="C267" s="4">
        <v>1</v>
      </c>
      <c r="D267" s="5">
        <v>28</v>
      </c>
      <c r="E267" s="4">
        <v>87594201</v>
      </c>
      <c r="F267" s="3" t="s">
        <v>5532</v>
      </c>
      <c r="G267" s="7" t="s">
        <v>5898</v>
      </c>
      <c r="H267" s="3" t="s">
        <v>6280</v>
      </c>
      <c r="I267" s="3" t="s">
        <v>6281</v>
      </c>
      <c r="J267" s="3" t="s">
        <v>5536</v>
      </c>
      <c r="K267" s="3" t="s">
        <v>5549</v>
      </c>
      <c r="L267" s="8" t="str">
        <f>HYPERLINK("http://slimages.macys.com/is/image/MCY/15882915 ")</f>
        <v xml:space="preserve">http://slimages.macys.com/is/image/MCY/15882915 </v>
      </c>
    </row>
    <row r="268" spans="1:12" ht="24.75" x14ac:dyDescent="0.25">
      <c r="A268" s="6" t="s">
        <v>6282</v>
      </c>
      <c r="B268" s="3" t="s">
        <v>6283</v>
      </c>
      <c r="C268" s="4">
        <v>1</v>
      </c>
      <c r="D268" s="5">
        <v>28</v>
      </c>
      <c r="E268" s="4">
        <v>81994507</v>
      </c>
      <c r="F268" s="3" t="s">
        <v>5532</v>
      </c>
      <c r="G268" s="7" t="s">
        <v>5898</v>
      </c>
      <c r="H268" s="3" t="s">
        <v>6280</v>
      </c>
      <c r="I268" s="3" t="s">
        <v>6281</v>
      </c>
      <c r="J268" s="3" t="s">
        <v>5536</v>
      </c>
      <c r="K268" s="3" t="s">
        <v>6284</v>
      </c>
      <c r="L268" s="8" t="str">
        <f>HYPERLINK("http://slimages.macys.com/is/image/MCY/15882899 ")</f>
        <v xml:space="preserve">http://slimages.macys.com/is/image/MCY/15882899 </v>
      </c>
    </row>
    <row r="269" spans="1:12" ht="24.75" x14ac:dyDescent="0.25">
      <c r="A269" s="6" t="s">
        <v>6285</v>
      </c>
      <c r="B269" s="3" t="s">
        <v>6286</v>
      </c>
      <c r="C269" s="4">
        <v>1</v>
      </c>
      <c r="D269" s="5">
        <v>28</v>
      </c>
      <c r="E269" s="4" t="s">
        <v>6287</v>
      </c>
      <c r="F269" s="3" t="s">
        <v>5540</v>
      </c>
      <c r="G269" s="7" t="s">
        <v>5898</v>
      </c>
      <c r="H269" s="3" t="s">
        <v>6280</v>
      </c>
      <c r="I269" s="3" t="s">
        <v>6288</v>
      </c>
      <c r="J269" s="3" t="s">
        <v>5536</v>
      </c>
      <c r="K269" s="3" t="s">
        <v>6289</v>
      </c>
      <c r="L269" s="8" t="str">
        <f>HYPERLINK("http://slimages.macys.com/is/image/MCY/15604747 ")</f>
        <v xml:space="preserve">http://slimages.macys.com/is/image/MCY/15604747 </v>
      </c>
    </row>
    <row r="270" spans="1:12" ht="24.75" x14ac:dyDescent="0.25">
      <c r="A270" s="6" t="s">
        <v>6290</v>
      </c>
      <c r="B270" s="3" t="s">
        <v>6291</v>
      </c>
      <c r="C270" s="4">
        <v>2</v>
      </c>
      <c r="D270" s="5">
        <v>56</v>
      </c>
      <c r="E270" s="4">
        <v>87994501</v>
      </c>
      <c r="F270" s="3" t="s">
        <v>6217</v>
      </c>
      <c r="G270" s="7" t="s">
        <v>5898</v>
      </c>
      <c r="H270" s="3" t="s">
        <v>6280</v>
      </c>
      <c r="I270" s="3" t="s">
        <v>6281</v>
      </c>
      <c r="J270" s="3" t="s">
        <v>5536</v>
      </c>
      <c r="K270" s="3" t="s">
        <v>6292</v>
      </c>
      <c r="L270" s="8" t="str">
        <f>HYPERLINK("http://slimages.macys.com/is/image/MCY/16178983 ")</f>
        <v xml:space="preserve">http://slimages.macys.com/is/image/MCY/16178983 </v>
      </c>
    </row>
    <row r="271" spans="1:12" ht="24.75" x14ac:dyDescent="0.25">
      <c r="A271" s="6" t="s">
        <v>6293</v>
      </c>
      <c r="B271" s="3" t="s">
        <v>6294</v>
      </c>
      <c r="C271" s="4">
        <v>1</v>
      </c>
      <c r="D271" s="5">
        <v>28</v>
      </c>
      <c r="E271" s="4">
        <v>87994402</v>
      </c>
      <c r="F271" s="3" t="s">
        <v>5754</v>
      </c>
      <c r="G271" s="7" t="s">
        <v>5898</v>
      </c>
      <c r="H271" s="3" t="s">
        <v>6280</v>
      </c>
      <c r="I271" s="3" t="s">
        <v>6281</v>
      </c>
      <c r="J271" s="3" t="s">
        <v>5536</v>
      </c>
      <c r="K271" s="3" t="s">
        <v>6295</v>
      </c>
      <c r="L271" s="8" t="str">
        <f>HYPERLINK("http://slimages.macys.com/is/image/MCY/15884038 ")</f>
        <v xml:space="preserve">http://slimages.macys.com/is/image/MCY/15884038 </v>
      </c>
    </row>
    <row r="272" spans="1:12" ht="24.75" x14ac:dyDescent="0.25">
      <c r="A272" s="6" t="s">
        <v>6296</v>
      </c>
      <c r="B272" s="3" t="s">
        <v>6283</v>
      </c>
      <c r="C272" s="4">
        <v>2</v>
      </c>
      <c r="D272" s="5">
        <v>56</v>
      </c>
      <c r="E272" s="4">
        <v>81994507</v>
      </c>
      <c r="F272" s="3" t="s">
        <v>5661</v>
      </c>
      <c r="G272" s="7" t="s">
        <v>5898</v>
      </c>
      <c r="H272" s="3" t="s">
        <v>6280</v>
      </c>
      <c r="I272" s="3" t="s">
        <v>6281</v>
      </c>
      <c r="J272" s="3" t="s">
        <v>5536</v>
      </c>
      <c r="K272" s="3" t="s">
        <v>6284</v>
      </c>
      <c r="L272" s="8" t="str">
        <f>HYPERLINK("http://slimages.macys.com/is/image/MCY/15882899 ")</f>
        <v xml:space="preserve">http://slimages.macys.com/is/image/MCY/15882899 </v>
      </c>
    </row>
    <row r="273" spans="1:12" ht="24.75" x14ac:dyDescent="0.25">
      <c r="A273" s="6" t="s">
        <v>6297</v>
      </c>
      <c r="B273" s="3" t="s">
        <v>6291</v>
      </c>
      <c r="C273" s="4">
        <v>1</v>
      </c>
      <c r="D273" s="5">
        <v>28</v>
      </c>
      <c r="E273" s="4">
        <v>87994501</v>
      </c>
      <c r="F273" s="3" t="s">
        <v>5532</v>
      </c>
      <c r="G273" s="7" t="s">
        <v>5898</v>
      </c>
      <c r="H273" s="3" t="s">
        <v>6280</v>
      </c>
      <c r="I273" s="3" t="s">
        <v>6281</v>
      </c>
      <c r="J273" s="3" t="s">
        <v>5536</v>
      </c>
      <c r="K273" s="3" t="s">
        <v>6292</v>
      </c>
      <c r="L273" s="8" t="str">
        <f>HYPERLINK("http://slimages.macys.com/is/image/MCY/16178983 ")</f>
        <v xml:space="preserve">http://slimages.macys.com/is/image/MCY/16178983 </v>
      </c>
    </row>
    <row r="274" spans="1:12" ht="24.75" x14ac:dyDescent="0.25">
      <c r="A274" s="6" t="s">
        <v>6298</v>
      </c>
      <c r="B274" s="3" t="s">
        <v>6299</v>
      </c>
      <c r="C274" s="4">
        <v>1</v>
      </c>
      <c r="D274" s="5">
        <v>28</v>
      </c>
      <c r="E274" s="4">
        <v>87994302</v>
      </c>
      <c r="F274" s="3" t="s">
        <v>6300</v>
      </c>
      <c r="G274" s="7" t="s">
        <v>5898</v>
      </c>
      <c r="H274" s="3" t="s">
        <v>6280</v>
      </c>
      <c r="I274" s="3" t="s">
        <v>6281</v>
      </c>
      <c r="J274" s="3" t="s">
        <v>5536</v>
      </c>
      <c r="K274" s="3" t="s">
        <v>6292</v>
      </c>
      <c r="L274" s="8" t="str">
        <f>HYPERLINK("http://slimages.macys.com/is/image/MCY/16177521 ")</f>
        <v xml:space="preserve">http://slimages.macys.com/is/image/MCY/16177521 </v>
      </c>
    </row>
    <row r="275" spans="1:12" ht="24.75" x14ac:dyDescent="0.25">
      <c r="A275" s="6" t="s">
        <v>6301</v>
      </c>
      <c r="B275" s="3" t="s">
        <v>6302</v>
      </c>
      <c r="C275" s="4">
        <v>2</v>
      </c>
      <c r="D275" s="5">
        <v>56</v>
      </c>
      <c r="E275" s="4">
        <v>87983601</v>
      </c>
      <c r="F275" s="3" t="s">
        <v>5661</v>
      </c>
      <c r="G275" s="7" t="s">
        <v>5898</v>
      </c>
      <c r="H275" s="3" t="s">
        <v>6280</v>
      </c>
      <c r="I275" s="3" t="s">
        <v>6281</v>
      </c>
      <c r="J275" s="3" t="s">
        <v>5536</v>
      </c>
      <c r="K275" s="3" t="s">
        <v>6303</v>
      </c>
      <c r="L275" s="8" t="str">
        <f>HYPERLINK("http://slimages.macys.com/is/image/MCY/13907166 ")</f>
        <v xml:space="preserve">http://slimages.macys.com/is/image/MCY/13907166 </v>
      </c>
    </row>
    <row r="276" spans="1:12" ht="24.75" x14ac:dyDescent="0.25">
      <c r="A276" s="6" t="s">
        <v>6304</v>
      </c>
      <c r="B276" s="3" t="s">
        <v>6291</v>
      </c>
      <c r="C276" s="4">
        <v>2</v>
      </c>
      <c r="D276" s="5">
        <v>56</v>
      </c>
      <c r="E276" s="4">
        <v>87994501</v>
      </c>
      <c r="F276" s="3" t="s">
        <v>5661</v>
      </c>
      <c r="G276" s="7" t="s">
        <v>5898</v>
      </c>
      <c r="H276" s="3" t="s">
        <v>6280</v>
      </c>
      <c r="I276" s="3" t="s">
        <v>6281</v>
      </c>
      <c r="J276" s="3" t="s">
        <v>5536</v>
      </c>
      <c r="K276" s="3" t="s">
        <v>6292</v>
      </c>
      <c r="L276" s="8" t="str">
        <f>HYPERLINK("http://slimages.macys.com/is/image/MCY/16178983 ")</f>
        <v xml:space="preserve">http://slimages.macys.com/is/image/MCY/16178983 </v>
      </c>
    </row>
    <row r="277" spans="1:12" ht="24.75" x14ac:dyDescent="0.25">
      <c r="A277" s="6" t="s">
        <v>6305</v>
      </c>
      <c r="B277" s="3" t="s">
        <v>6306</v>
      </c>
      <c r="C277" s="4">
        <v>2</v>
      </c>
      <c r="D277" s="5">
        <v>56</v>
      </c>
      <c r="E277" s="4">
        <v>87994405</v>
      </c>
      <c r="F277" s="3" t="s">
        <v>5532</v>
      </c>
      <c r="G277" s="7" t="s">
        <v>5898</v>
      </c>
      <c r="H277" s="3" t="s">
        <v>6280</v>
      </c>
      <c r="I277" s="3" t="s">
        <v>6281</v>
      </c>
      <c r="J277" s="3" t="s">
        <v>5536</v>
      </c>
      <c r="K277" s="3" t="s">
        <v>6295</v>
      </c>
      <c r="L277" s="8" t="str">
        <f>HYPERLINK("http://slimages.macys.com/is/image/MCY/16090922 ")</f>
        <v xml:space="preserve">http://slimages.macys.com/is/image/MCY/16090922 </v>
      </c>
    </row>
    <row r="278" spans="1:12" ht="24.75" x14ac:dyDescent="0.25">
      <c r="A278" s="6" t="s">
        <v>6307</v>
      </c>
      <c r="B278" s="3" t="s">
        <v>6308</v>
      </c>
      <c r="C278" s="4">
        <v>1</v>
      </c>
      <c r="D278" s="5">
        <v>28</v>
      </c>
      <c r="E278" s="4">
        <v>87984402</v>
      </c>
      <c r="F278" s="3" t="s">
        <v>5552</v>
      </c>
      <c r="G278" s="7" t="s">
        <v>5898</v>
      </c>
      <c r="H278" s="3" t="s">
        <v>6280</v>
      </c>
      <c r="I278" s="3" t="s">
        <v>6281</v>
      </c>
      <c r="J278" s="3" t="s">
        <v>5536</v>
      </c>
      <c r="K278" s="3" t="s">
        <v>6295</v>
      </c>
      <c r="L278" s="8" t="str">
        <f>HYPERLINK("http://slimages.macys.com/is/image/MCY/11859711 ")</f>
        <v xml:space="preserve">http://slimages.macys.com/is/image/MCY/11859711 </v>
      </c>
    </row>
    <row r="279" spans="1:12" ht="24.75" x14ac:dyDescent="0.25">
      <c r="A279" s="6" t="s">
        <v>6309</v>
      </c>
      <c r="B279" s="3" t="s">
        <v>6310</v>
      </c>
      <c r="C279" s="4">
        <v>1</v>
      </c>
      <c r="D279" s="5">
        <v>28</v>
      </c>
      <c r="E279" s="4" t="s">
        <v>6311</v>
      </c>
      <c r="F279" s="3" t="s">
        <v>5625</v>
      </c>
      <c r="G279" s="7" t="s">
        <v>5898</v>
      </c>
      <c r="H279" s="3" t="s">
        <v>6280</v>
      </c>
      <c r="I279" s="3" t="s">
        <v>6312</v>
      </c>
      <c r="J279" s="3" t="s">
        <v>5536</v>
      </c>
      <c r="K279" s="3" t="s">
        <v>6313</v>
      </c>
      <c r="L279" s="8" t="str">
        <f>HYPERLINK("http://slimages.macys.com/is/image/MCY/15917644 ")</f>
        <v xml:space="preserve">http://slimages.macys.com/is/image/MCY/15917644 </v>
      </c>
    </row>
    <row r="280" spans="1:12" ht="24.75" x14ac:dyDescent="0.25">
      <c r="A280" s="6" t="s">
        <v>6314</v>
      </c>
      <c r="B280" s="3" t="s">
        <v>6315</v>
      </c>
      <c r="C280" s="4">
        <v>1</v>
      </c>
      <c r="D280" s="5">
        <v>28</v>
      </c>
      <c r="E280" s="4">
        <v>87994301</v>
      </c>
      <c r="F280" s="3" t="s">
        <v>5754</v>
      </c>
      <c r="G280" s="7" t="s">
        <v>5898</v>
      </c>
      <c r="H280" s="3" t="s">
        <v>6280</v>
      </c>
      <c r="I280" s="3" t="s">
        <v>6281</v>
      </c>
      <c r="J280" s="3" t="s">
        <v>5536</v>
      </c>
      <c r="K280" s="3" t="s">
        <v>6316</v>
      </c>
      <c r="L280" s="8" t="str">
        <f>HYPERLINK("http://slimages.macys.com/is/image/MCY/15883995 ")</f>
        <v xml:space="preserve">http://slimages.macys.com/is/image/MCY/15883995 </v>
      </c>
    </row>
    <row r="281" spans="1:12" ht="24.75" x14ac:dyDescent="0.25">
      <c r="A281" s="6" t="s">
        <v>6317</v>
      </c>
      <c r="B281" s="3" t="s">
        <v>6308</v>
      </c>
      <c r="C281" s="4">
        <v>1</v>
      </c>
      <c r="D281" s="5">
        <v>28</v>
      </c>
      <c r="E281" s="4">
        <v>87984402</v>
      </c>
      <c r="F281" s="3" t="s">
        <v>6300</v>
      </c>
      <c r="G281" s="7" t="s">
        <v>5898</v>
      </c>
      <c r="H281" s="3" t="s">
        <v>6280</v>
      </c>
      <c r="I281" s="3" t="s">
        <v>6281</v>
      </c>
      <c r="J281" s="3" t="s">
        <v>5536</v>
      </c>
      <c r="K281" s="3" t="s">
        <v>6295</v>
      </c>
      <c r="L281" s="8" t="str">
        <f>HYPERLINK("http://slimages.macys.com/is/image/MCY/11859714 ")</f>
        <v xml:space="preserve">http://slimages.macys.com/is/image/MCY/11859714 </v>
      </c>
    </row>
    <row r="282" spans="1:12" ht="36.75" x14ac:dyDescent="0.25">
      <c r="A282" s="6" t="s">
        <v>6318</v>
      </c>
      <c r="B282" s="3" t="s">
        <v>6319</v>
      </c>
      <c r="C282" s="4">
        <v>2</v>
      </c>
      <c r="D282" s="5">
        <v>56</v>
      </c>
      <c r="E282" s="4" t="s">
        <v>6320</v>
      </c>
      <c r="F282" s="3" t="s">
        <v>5754</v>
      </c>
      <c r="G282" s="7" t="s">
        <v>5898</v>
      </c>
      <c r="H282" s="3" t="s">
        <v>6280</v>
      </c>
      <c r="I282" s="3" t="s">
        <v>6288</v>
      </c>
      <c r="J282" s="3" t="s">
        <v>5536</v>
      </c>
      <c r="K282" s="3" t="s">
        <v>6321</v>
      </c>
      <c r="L282" s="8" t="str">
        <f>HYPERLINK("http://slimages.macys.com/is/image/MCY/15661626 ")</f>
        <v xml:space="preserve">http://slimages.macys.com/is/image/MCY/15661626 </v>
      </c>
    </row>
    <row r="283" spans="1:12" ht="24.75" x14ac:dyDescent="0.25">
      <c r="A283" s="6" t="s">
        <v>6322</v>
      </c>
      <c r="B283" s="3" t="s">
        <v>6323</v>
      </c>
      <c r="C283" s="4">
        <v>1</v>
      </c>
      <c r="D283" s="5">
        <v>28</v>
      </c>
      <c r="E283" s="4">
        <v>87933732</v>
      </c>
      <c r="F283" s="3" t="s">
        <v>5532</v>
      </c>
      <c r="G283" s="7" t="s">
        <v>5898</v>
      </c>
      <c r="H283" s="3" t="s">
        <v>6280</v>
      </c>
      <c r="I283" s="3" t="s">
        <v>6281</v>
      </c>
      <c r="J283" s="3" t="s">
        <v>5536</v>
      </c>
      <c r="K283" s="3" t="s">
        <v>6303</v>
      </c>
      <c r="L283" s="8" t="str">
        <f>HYPERLINK("http://slimages.macys.com/is/image/MCY/1753410 ")</f>
        <v xml:space="preserve">http://slimages.macys.com/is/image/MCY/1753410 </v>
      </c>
    </row>
    <row r="284" spans="1:12" ht="24.75" x14ac:dyDescent="0.25">
      <c r="A284" s="6" t="s">
        <v>6324</v>
      </c>
      <c r="B284" s="3" t="s">
        <v>6325</v>
      </c>
      <c r="C284" s="4">
        <v>2</v>
      </c>
      <c r="D284" s="5">
        <v>56</v>
      </c>
      <c r="E284" s="4" t="s">
        <v>6326</v>
      </c>
      <c r="F284" s="3" t="s">
        <v>5540</v>
      </c>
      <c r="G284" s="7" t="s">
        <v>5898</v>
      </c>
      <c r="H284" s="3" t="s">
        <v>6280</v>
      </c>
      <c r="I284" s="3" t="s">
        <v>6288</v>
      </c>
      <c r="J284" s="3" t="s">
        <v>5536</v>
      </c>
      <c r="K284" s="3" t="s">
        <v>6327</v>
      </c>
      <c r="L284" s="8" t="str">
        <f>HYPERLINK("http://slimages.macys.com/is/image/MCY/15145045 ")</f>
        <v xml:space="preserve">http://slimages.macys.com/is/image/MCY/15145045 </v>
      </c>
    </row>
    <row r="285" spans="1:12" ht="24.75" x14ac:dyDescent="0.25">
      <c r="A285" s="6" t="s">
        <v>6328</v>
      </c>
      <c r="B285" s="3" t="s">
        <v>6279</v>
      </c>
      <c r="C285" s="4">
        <v>1</v>
      </c>
      <c r="D285" s="5">
        <v>28</v>
      </c>
      <c r="E285" s="4">
        <v>87594201</v>
      </c>
      <c r="F285" s="3" t="s">
        <v>5754</v>
      </c>
      <c r="G285" s="7" t="s">
        <v>5898</v>
      </c>
      <c r="H285" s="3" t="s">
        <v>6280</v>
      </c>
      <c r="I285" s="3" t="s">
        <v>6281</v>
      </c>
      <c r="J285" s="3" t="s">
        <v>5536</v>
      </c>
      <c r="K285" s="3" t="s">
        <v>5549</v>
      </c>
      <c r="L285" s="8" t="str">
        <f>HYPERLINK("http://slimages.macys.com/is/image/MCY/15882915 ")</f>
        <v xml:space="preserve">http://slimages.macys.com/is/image/MCY/15882915 </v>
      </c>
    </row>
    <row r="286" spans="1:12" ht="24.75" x14ac:dyDescent="0.25">
      <c r="A286" s="6" t="s">
        <v>6329</v>
      </c>
      <c r="B286" s="3" t="s">
        <v>6330</v>
      </c>
      <c r="C286" s="4">
        <v>1</v>
      </c>
      <c r="D286" s="5">
        <v>28</v>
      </c>
      <c r="E286" s="4" t="s">
        <v>6331</v>
      </c>
      <c r="F286" s="3" t="s">
        <v>6010</v>
      </c>
      <c r="G286" s="7" t="s">
        <v>5898</v>
      </c>
      <c r="H286" s="3" t="s">
        <v>6280</v>
      </c>
      <c r="I286" s="3" t="s">
        <v>6288</v>
      </c>
      <c r="J286" s="3" t="s">
        <v>5536</v>
      </c>
      <c r="K286" s="3" t="s">
        <v>6332</v>
      </c>
      <c r="L286" s="8" t="str">
        <f>HYPERLINK("http://slimages.macys.com/is/image/MCY/14573428 ")</f>
        <v xml:space="preserve">http://slimages.macys.com/is/image/MCY/14573428 </v>
      </c>
    </row>
    <row r="287" spans="1:12" ht="24.75" x14ac:dyDescent="0.25">
      <c r="A287" s="6" t="s">
        <v>6333</v>
      </c>
      <c r="B287" s="3" t="s">
        <v>6334</v>
      </c>
      <c r="C287" s="4">
        <v>1</v>
      </c>
      <c r="D287" s="5">
        <v>28</v>
      </c>
      <c r="E287" s="4">
        <v>87984602</v>
      </c>
      <c r="F287" s="3" t="s">
        <v>6335</v>
      </c>
      <c r="G287" s="7" t="s">
        <v>5898</v>
      </c>
      <c r="H287" s="3" t="s">
        <v>6280</v>
      </c>
      <c r="I287" s="3" t="s">
        <v>6281</v>
      </c>
      <c r="J287" s="3" t="s">
        <v>5536</v>
      </c>
      <c r="K287" s="3" t="s">
        <v>6295</v>
      </c>
      <c r="L287" s="8" t="str">
        <f>HYPERLINK("http://slimages.macys.com/is/image/MCY/11952913 ")</f>
        <v xml:space="preserve">http://slimages.macys.com/is/image/MCY/11952913 </v>
      </c>
    </row>
    <row r="288" spans="1:12" ht="24.75" x14ac:dyDescent="0.25">
      <c r="A288" s="6" t="s">
        <v>6336</v>
      </c>
      <c r="B288" s="3" t="s">
        <v>6337</v>
      </c>
      <c r="C288" s="4">
        <v>1</v>
      </c>
      <c r="D288" s="5">
        <v>28</v>
      </c>
      <c r="E288" s="4">
        <v>87994403</v>
      </c>
      <c r="F288" s="3" t="s">
        <v>5532</v>
      </c>
      <c r="G288" s="7" t="s">
        <v>5898</v>
      </c>
      <c r="H288" s="3" t="s">
        <v>6280</v>
      </c>
      <c r="I288" s="3" t="s">
        <v>6281</v>
      </c>
      <c r="J288" s="3" t="s">
        <v>5536</v>
      </c>
      <c r="K288" s="3" t="s">
        <v>6338</v>
      </c>
      <c r="L288" s="8" t="str">
        <f>HYPERLINK("http://slimages.macys.com/is/image/MCY/15882927 ")</f>
        <v xml:space="preserve">http://slimages.macys.com/is/image/MCY/15882927 </v>
      </c>
    </row>
    <row r="289" spans="1:12" ht="24.75" x14ac:dyDescent="0.25">
      <c r="A289" s="6" t="s">
        <v>6339</v>
      </c>
      <c r="B289" s="3" t="s">
        <v>6279</v>
      </c>
      <c r="C289" s="4">
        <v>3</v>
      </c>
      <c r="D289" s="5">
        <v>84</v>
      </c>
      <c r="E289" s="4">
        <v>87594201</v>
      </c>
      <c r="F289" s="3" t="s">
        <v>5532</v>
      </c>
      <c r="G289" s="7" t="s">
        <v>5898</v>
      </c>
      <c r="H289" s="3" t="s">
        <v>6280</v>
      </c>
      <c r="I289" s="3" t="s">
        <v>6281</v>
      </c>
      <c r="J289" s="3" t="s">
        <v>5536</v>
      </c>
      <c r="K289" s="3" t="s">
        <v>5549</v>
      </c>
      <c r="L289" s="8" t="str">
        <f>HYPERLINK("http://slimages.macys.com/is/image/MCY/15882915 ")</f>
        <v xml:space="preserve">http://slimages.macys.com/is/image/MCY/15882915 </v>
      </c>
    </row>
    <row r="290" spans="1:12" ht="24.75" x14ac:dyDescent="0.25">
      <c r="A290" s="6" t="s">
        <v>6340</v>
      </c>
      <c r="B290" s="3" t="s">
        <v>6341</v>
      </c>
      <c r="C290" s="4">
        <v>2</v>
      </c>
      <c r="D290" s="5">
        <v>56</v>
      </c>
      <c r="E290" s="4">
        <v>87994201</v>
      </c>
      <c r="F290" s="3" t="s">
        <v>5661</v>
      </c>
      <c r="G290" s="7" t="s">
        <v>5898</v>
      </c>
      <c r="H290" s="3" t="s">
        <v>6280</v>
      </c>
      <c r="I290" s="3" t="s">
        <v>6281</v>
      </c>
      <c r="J290" s="3" t="s">
        <v>5536</v>
      </c>
      <c r="K290" s="3" t="s">
        <v>6342</v>
      </c>
      <c r="L290" s="8" t="str">
        <f>HYPERLINK("http://slimages.macys.com/is/image/MCY/15147424 ")</f>
        <v xml:space="preserve">http://slimages.macys.com/is/image/MCY/15147424 </v>
      </c>
    </row>
    <row r="291" spans="1:12" ht="24.75" x14ac:dyDescent="0.25">
      <c r="A291" s="6" t="s">
        <v>6343</v>
      </c>
      <c r="B291" s="3" t="s">
        <v>6344</v>
      </c>
      <c r="C291" s="4">
        <v>1</v>
      </c>
      <c r="D291" s="5">
        <v>28</v>
      </c>
      <c r="E291" s="4">
        <v>87993501</v>
      </c>
      <c r="F291" s="3" t="s">
        <v>5661</v>
      </c>
      <c r="G291" s="7" t="s">
        <v>5898</v>
      </c>
      <c r="H291" s="3" t="s">
        <v>6280</v>
      </c>
      <c r="I291" s="3" t="s">
        <v>6281</v>
      </c>
      <c r="J291" s="3" t="s">
        <v>5536</v>
      </c>
      <c r="K291" s="3" t="s">
        <v>6338</v>
      </c>
      <c r="L291" s="8" t="str">
        <f>HYPERLINK("http://slimages.macys.com/is/image/MCY/13909913 ")</f>
        <v xml:space="preserve">http://slimages.macys.com/is/image/MCY/13909913 </v>
      </c>
    </row>
    <row r="292" spans="1:12" ht="24.75" x14ac:dyDescent="0.25">
      <c r="A292" s="6" t="s">
        <v>6345</v>
      </c>
      <c r="B292" s="3" t="s">
        <v>6341</v>
      </c>
      <c r="C292" s="4">
        <v>2</v>
      </c>
      <c r="D292" s="5">
        <v>56</v>
      </c>
      <c r="E292" s="4">
        <v>87994201</v>
      </c>
      <c r="F292" s="3" t="s">
        <v>5532</v>
      </c>
      <c r="G292" s="7" t="s">
        <v>5898</v>
      </c>
      <c r="H292" s="3" t="s">
        <v>6280</v>
      </c>
      <c r="I292" s="3" t="s">
        <v>6281</v>
      </c>
      <c r="J292" s="3" t="s">
        <v>5536</v>
      </c>
      <c r="K292" s="3" t="s">
        <v>6342</v>
      </c>
      <c r="L292" s="8" t="str">
        <f>HYPERLINK("http://slimages.macys.com/is/image/MCY/15147424 ")</f>
        <v xml:space="preserve">http://slimages.macys.com/is/image/MCY/15147424 </v>
      </c>
    </row>
    <row r="293" spans="1:12" ht="24.75" x14ac:dyDescent="0.25">
      <c r="A293" s="6" t="s">
        <v>6346</v>
      </c>
      <c r="B293" s="3" t="s">
        <v>6347</v>
      </c>
      <c r="C293" s="4">
        <v>2</v>
      </c>
      <c r="D293" s="5">
        <v>56</v>
      </c>
      <c r="E293" s="4">
        <v>87994409</v>
      </c>
      <c r="F293" s="3" t="s">
        <v>5661</v>
      </c>
      <c r="G293" s="7" t="s">
        <v>5898</v>
      </c>
      <c r="H293" s="3" t="s">
        <v>6280</v>
      </c>
      <c r="I293" s="3" t="s">
        <v>6281</v>
      </c>
      <c r="J293" s="3" t="s">
        <v>5536</v>
      </c>
      <c r="K293" s="3" t="s">
        <v>6332</v>
      </c>
      <c r="L293" s="8" t="str">
        <f>HYPERLINK("http://slimages.macys.com/is/image/MCY/15147571 ")</f>
        <v xml:space="preserve">http://slimages.macys.com/is/image/MCY/15147571 </v>
      </c>
    </row>
    <row r="294" spans="1:12" ht="24.75" x14ac:dyDescent="0.25">
      <c r="A294" s="6" t="s">
        <v>6348</v>
      </c>
      <c r="B294" s="3" t="s">
        <v>6349</v>
      </c>
      <c r="C294" s="4">
        <v>2</v>
      </c>
      <c r="D294" s="5">
        <v>56</v>
      </c>
      <c r="E294" s="4">
        <v>87574607</v>
      </c>
      <c r="F294" s="3" t="s">
        <v>5661</v>
      </c>
      <c r="G294" s="7" t="s">
        <v>5898</v>
      </c>
      <c r="H294" s="3" t="s">
        <v>6280</v>
      </c>
      <c r="I294" s="3" t="s">
        <v>6281</v>
      </c>
      <c r="J294" s="3" t="s">
        <v>5536</v>
      </c>
      <c r="K294" s="3" t="s">
        <v>6303</v>
      </c>
      <c r="L294" s="8" t="str">
        <f>HYPERLINK("http://slimages.macys.com/is/image/MCY/9080169 ")</f>
        <v xml:space="preserve">http://slimages.macys.com/is/image/MCY/9080169 </v>
      </c>
    </row>
    <row r="295" spans="1:12" ht="24.75" x14ac:dyDescent="0.25">
      <c r="A295" s="6" t="s">
        <v>6350</v>
      </c>
      <c r="B295" s="3" t="s">
        <v>6351</v>
      </c>
      <c r="C295" s="4">
        <v>3</v>
      </c>
      <c r="D295" s="5">
        <v>84</v>
      </c>
      <c r="E295" s="4" t="s">
        <v>6352</v>
      </c>
      <c r="F295" s="3" t="s">
        <v>5540</v>
      </c>
      <c r="G295" s="7" t="s">
        <v>5898</v>
      </c>
      <c r="H295" s="3" t="s">
        <v>6280</v>
      </c>
      <c r="I295" s="3" t="s">
        <v>6288</v>
      </c>
      <c r="J295" s="3" t="s">
        <v>5536</v>
      </c>
      <c r="K295" s="3" t="s">
        <v>6327</v>
      </c>
      <c r="L295" s="8" t="str">
        <f>HYPERLINK("http://slimages.macys.com/is/image/MCY/15604756 ")</f>
        <v xml:space="preserve">http://slimages.macys.com/is/image/MCY/15604756 </v>
      </c>
    </row>
    <row r="296" spans="1:12" ht="24.75" x14ac:dyDescent="0.25">
      <c r="A296" s="6" t="s">
        <v>6353</v>
      </c>
      <c r="B296" s="3" t="s">
        <v>6337</v>
      </c>
      <c r="C296" s="4">
        <v>2</v>
      </c>
      <c r="D296" s="5">
        <v>56</v>
      </c>
      <c r="E296" s="4">
        <v>87994403</v>
      </c>
      <c r="F296" s="3" t="s">
        <v>5661</v>
      </c>
      <c r="G296" s="7" t="s">
        <v>5898</v>
      </c>
      <c r="H296" s="3" t="s">
        <v>6280</v>
      </c>
      <c r="I296" s="3" t="s">
        <v>6281</v>
      </c>
      <c r="J296" s="3" t="s">
        <v>5536</v>
      </c>
      <c r="K296" s="3" t="s">
        <v>6338</v>
      </c>
      <c r="L296" s="8" t="str">
        <f>HYPERLINK("http://slimages.macys.com/is/image/MCY/15882927 ")</f>
        <v xml:space="preserve">http://slimages.macys.com/is/image/MCY/15882927 </v>
      </c>
    </row>
    <row r="297" spans="1:12" ht="24.75" x14ac:dyDescent="0.25">
      <c r="A297" s="6" t="s">
        <v>6354</v>
      </c>
      <c r="B297" s="3" t="s">
        <v>6294</v>
      </c>
      <c r="C297" s="4">
        <v>1</v>
      </c>
      <c r="D297" s="5">
        <v>28</v>
      </c>
      <c r="E297" s="4">
        <v>87994402</v>
      </c>
      <c r="F297" s="3" t="s">
        <v>5793</v>
      </c>
      <c r="G297" s="7" t="s">
        <v>5898</v>
      </c>
      <c r="H297" s="3" t="s">
        <v>6280</v>
      </c>
      <c r="I297" s="3" t="s">
        <v>6281</v>
      </c>
      <c r="J297" s="3" t="s">
        <v>5536</v>
      </c>
      <c r="K297" s="3" t="s">
        <v>6295</v>
      </c>
      <c r="L297" s="8" t="str">
        <f>HYPERLINK("http://slimages.macys.com/is/image/MCY/15884038 ")</f>
        <v xml:space="preserve">http://slimages.macys.com/is/image/MCY/15884038 </v>
      </c>
    </row>
    <row r="298" spans="1:12" ht="24.75" x14ac:dyDescent="0.25">
      <c r="A298" s="6" t="s">
        <v>6355</v>
      </c>
      <c r="B298" s="3" t="s">
        <v>6356</v>
      </c>
      <c r="C298" s="4">
        <v>2</v>
      </c>
      <c r="D298" s="5">
        <v>56</v>
      </c>
      <c r="E298" s="4">
        <v>87994406</v>
      </c>
      <c r="F298" s="3" t="s">
        <v>5532</v>
      </c>
      <c r="G298" s="7" t="s">
        <v>5898</v>
      </c>
      <c r="H298" s="3" t="s">
        <v>6280</v>
      </c>
      <c r="I298" s="3" t="s">
        <v>6281</v>
      </c>
      <c r="J298" s="3" t="s">
        <v>5536</v>
      </c>
      <c r="K298" s="3" t="s">
        <v>6292</v>
      </c>
      <c r="L298" s="8" t="str">
        <f>HYPERLINK("http://slimages.macys.com/is/image/MCY/16178779 ")</f>
        <v xml:space="preserve">http://slimages.macys.com/is/image/MCY/16178779 </v>
      </c>
    </row>
    <row r="299" spans="1:12" ht="24.75" x14ac:dyDescent="0.25">
      <c r="A299" s="6" t="s">
        <v>6357</v>
      </c>
      <c r="B299" s="3" t="s">
        <v>6291</v>
      </c>
      <c r="C299" s="4">
        <v>4</v>
      </c>
      <c r="D299" s="5">
        <v>112</v>
      </c>
      <c r="E299" s="4">
        <v>87994501</v>
      </c>
      <c r="F299" s="3" t="s">
        <v>6300</v>
      </c>
      <c r="G299" s="7" t="s">
        <v>5898</v>
      </c>
      <c r="H299" s="3" t="s">
        <v>6280</v>
      </c>
      <c r="I299" s="3" t="s">
        <v>6281</v>
      </c>
      <c r="J299" s="3" t="s">
        <v>5536</v>
      </c>
      <c r="K299" s="3" t="s">
        <v>6292</v>
      </c>
      <c r="L299" s="8" t="str">
        <f>HYPERLINK("http://slimages.macys.com/is/image/MCY/16178983 ")</f>
        <v xml:space="preserve">http://slimages.macys.com/is/image/MCY/16178983 </v>
      </c>
    </row>
    <row r="300" spans="1:12" ht="24.75" x14ac:dyDescent="0.25">
      <c r="A300" s="6" t="s">
        <v>6358</v>
      </c>
      <c r="B300" s="3" t="s">
        <v>6359</v>
      </c>
      <c r="C300" s="4">
        <v>1</v>
      </c>
      <c r="D300" s="5">
        <v>28</v>
      </c>
      <c r="E300" s="4" t="s">
        <v>6360</v>
      </c>
      <c r="F300" s="3" t="s">
        <v>5532</v>
      </c>
      <c r="G300" s="7" t="s">
        <v>5898</v>
      </c>
      <c r="H300" s="3" t="s">
        <v>6280</v>
      </c>
      <c r="I300" s="3" t="s">
        <v>6288</v>
      </c>
      <c r="J300" s="3" t="s">
        <v>5536</v>
      </c>
      <c r="K300" s="3" t="s">
        <v>6295</v>
      </c>
      <c r="L300" s="8" t="str">
        <f>HYPERLINK("http://slimages.macys.com/is/image/MCY/15918338 ")</f>
        <v xml:space="preserve">http://slimages.macys.com/is/image/MCY/15918338 </v>
      </c>
    </row>
    <row r="301" spans="1:12" ht="24.75" x14ac:dyDescent="0.25">
      <c r="A301" s="6" t="s">
        <v>6361</v>
      </c>
      <c r="B301" s="3" t="s">
        <v>6325</v>
      </c>
      <c r="C301" s="4">
        <v>1</v>
      </c>
      <c r="D301" s="5">
        <v>28</v>
      </c>
      <c r="E301" s="4" t="s">
        <v>6326</v>
      </c>
      <c r="F301" s="3" t="s">
        <v>5754</v>
      </c>
      <c r="G301" s="7" t="s">
        <v>5898</v>
      </c>
      <c r="H301" s="3" t="s">
        <v>6280</v>
      </c>
      <c r="I301" s="3" t="s">
        <v>6288</v>
      </c>
      <c r="J301" s="3" t="s">
        <v>5536</v>
      </c>
      <c r="K301" s="3" t="s">
        <v>6327</v>
      </c>
      <c r="L301" s="8" t="str">
        <f>HYPERLINK("http://slimages.macys.com/is/image/MCY/15145045 ")</f>
        <v xml:space="preserve">http://slimages.macys.com/is/image/MCY/15145045 </v>
      </c>
    </row>
    <row r="302" spans="1:12" ht="24.75" x14ac:dyDescent="0.25">
      <c r="A302" s="6" t="s">
        <v>6362</v>
      </c>
      <c r="B302" s="3" t="s">
        <v>6359</v>
      </c>
      <c r="C302" s="4">
        <v>1</v>
      </c>
      <c r="D302" s="5">
        <v>28</v>
      </c>
      <c r="E302" s="4" t="s">
        <v>6360</v>
      </c>
      <c r="F302" s="3" t="s">
        <v>5661</v>
      </c>
      <c r="G302" s="7" t="s">
        <v>5898</v>
      </c>
      <c r="H302" s="3" t="s">
        <v>6280</v>
      </c>
      <c r="I302" s="3" t="s">
        <v>6288</v>
      </c>
      <c r="J302" s="3" t="s">
        <v>5536</v>
      </c>
      <c r="K302" s="3" t="s">
        <v>6295</v>
      </c>
      <c r="L302" s="8" t="str">
        <f>HYPERLINK("http://slimages.macys.com/is/image/MCY/15918338 ")</f>
        <v xml:space="preserve">http://slimages.macys.com/is/image/MCY/15918338 </v>
      </c>
    </row>
    <row r="303" spans="1:12" ht="24.75" x14ac:dyDescent="0.25">
      <c r="A303" s="6" t="s">
        <v>6363</v>
      </c>
      <c r="B303" s="3" t="s">
        <v>6341</v>
      </c>
      <c r="C303" s="4">
        <v>1</v>
      </c>
      <c r="D303" s="5">
        <v>28</v>
      </c>
      <c r="E303" s="4">
        <v>87994201</v>
      </c>
      <c r="F303" s="3" t="s">
        <v>5625</v>
      </c>
      <c r="G303" s="7" t="s">
        <v>5898</v>
      </c>
      <c r="H303" s="3" t="s">
        <v>6280</v>
      </c>
      <c r="I303" s="3" t="s">
        <v>6281</v>
      </c>
      <c r="J303" s="3" t="s">
        <v>5536</v>
      </c>
      <c r="K303" s="3" t="s">
        <v>6342</v>
      </c>
      <c r="L303" s="8" t="str">
        <f>HYPERLINK("http://slimages.macys.com/is/image/MCY/15147424 ")</f>
        <v xml:space="preserve">http://slimages.macys.com/is/image/MCY/15147424 </v>
      </c>
    </row>
    <row r="304" spans="1:12" ht="24.75" x14ac:dyDescent="0.25">
      <c r="A304" s="6" t="s">
        <v>6364</v>
      </c>
      <c r="B304" s="3" t="s">
        <v>6294</v>
      </c>
      <c r="C304" s="4">
        <v>2</v>
      </c>
      <c r="D304" s="5">
        <v>56</v>
      </c>
      <c r="E304" s="4">
        <v>87994402</v>
      </c>
      <c r="F304" s="3" t="s">
        <v>5661</v>
      </c>
      <c r="G304" s="7" t="s">
        <v>5898</v>
      </c>
      <c r="H304" s="3" t="s">
        <v>6280</v>
      </c>
      <c r="I304" s="3" t="s">
        <v>6281</v>
      </c>
      <c r="J304" s="3" t="s">
        <v>5536</v>
      </c>
      <c r="K304" s="3" t="s">
        <v>6295</v>
      </c>
      <c r="L304" s="8" t="str">
        <f>HYPERLINK("http://slimages.macys.com/is/image/MCY/15884038 ")</f>
        <v xml:space="preserve">http://slimages.macys.com/is/image/MCY/15884038 </v>
      </c>
    </row>
    <row r="305" spans="1:12" ht="24.75" x14ac:dyDescent="0.25">
      <c r="A305" s="6" t="s">
        <v>6365</v>
      </c>
      <c r="B305" s="3" t="s">
        <v>6359</v>
      </c>
      <c r="C305" s="4">
        <v>2</v>
      </c>
      <c r="D305" s="5">
        <v>56</v>
      </c>
      <c r="E305" s="4" t="s">
        <v>6360</v>
      </c>
      <c r="F305" s="3" t="s">
        <v>5625</v>
      </c>
      <c r="G305" s="7" t="s">
        <v>5898</v>
      </c>
      <c r="H305" s="3" t="s">
        <v>6280</v>
      </c>
      <c r="I305" s="3" t="s">
        <v>6288</v>
      </c>
      <c r="J305" s="3" t="s">
        <v>5536</v>
      </c>
      <c r="K305" s="3" t="s">
        <v>6295</v>
      </c>
      <c r="L305" s="8" t="str">
        <f>HYPERLINK("http://slimages.macys.com/is/image/MCY/15918338 ")</f>
        <v xml:space="preserve">http://slimages.macys.com/is/image/MCY/15918338 </v>
      </c>
    </row>
    <row r="306" spans="1:12" ht="24.75" x14ac:dyDescent="0.25">
      <c r="A306" s="6" t="s">
        <v>6366</v>
      </c>
      <c r="B306" s="3" t="s">
        <v>6367</v>
      </c>
      <c r="C306" s="4">
        <v>2</v>
      </c>
      <c r="D306" s="5">
        <v>56</v>
      </c>
      <c r="E306" s="4" t="s">
        <v>6368</v>
      </c>
      <c r="F306" s="3" t="s">
        <v>5532</v>
      </c>
      <c r="G306" s="7" t="s">
        <v>5898</v>
      </c>
      <c r="H306" s="3" t="s">
        <v>6280</v>
      </c>
      <c r="I306" s="3" t="s">
        <v>6288</v>
      </c>
      <c r="J306" s="3" t="s">
        <v>5536</v>
      </c>
      <c r="K306" s="3" t="s">
        <v>6295</v>
      </c>
      <c r="L306" s="8" t="str">
        <f>HYPERLINK("http://slimages.macys.com/is/image/MCY/16189774 ")</f>
        <v xml:space="preserve">http://slimages.macys.com/is/image/MCY/16189774 </v>
      </c>
    </row>
    <row r="307" spans="1:12" ht="24.75" x14ac:dyDescent="0.25">
      <c r="A307" s="6" t="s">
        <v>6369</v>
      </c>
      <c r="B307" s="3" t="s">
        <v>6370</v>
      </c>
      <c r="C307" s="4">
        <v>3</v>
      </c>
      <c r="D307" s="5">
        <v>84</v>
      </c>
      <c r="E307" s="4" t="s">
        <v>6371</v>
      </c>
      <c r="F307" s="3" t="s">
        <v>5532</v>
      </c>
      <c r="G307" s="7" t="s">
        <v>5898</v>
      </c>
      <c r="H307" s="3" t="s">
        <v>6280</v>
      </c>
      <c r="I307" s="3" t="s">
        <v>6288</v>
      </c>
      <c r="J307" s="3" t="s">
        <v>5536</v>
      </c>
      <c r="K307" s="3" t="s">
        <v>6372</v>
      </c>
      <c r="L307" s="8" t="str">
        <f>HYPERLINK("http://slimages.macys.com/is/image/MCY/16193240 ")</f>
        <v xml:space="preserve">http://slimages.macys.com/is/image/MCY/16193240 </v>
      </c>
    </row>
    <row r="308" spans="1:12" ht="24.75" x14ac:dyDescent="0.25">
      <c r="A308" s="6" t="s">
        <v>6373</v>
      </c>
      <c r="B308" s="3" t="s">
        <v>6374</v>
      </c>
      <c r="C308" s="4">
        <v>2</v>
      </c>
      <c r="D308" s="5">
        <v>56</v>
      </c>
      <c r="E308" s="4" t="s">
        <v>6375</v>
      </c>
      <c r="F308" s="3" t="s">
        <v>5532</v>
      </c>
      <c r="G308" s="7" t="s">
        <v>5898</v>
      </c>
      <c r="H308" s="3" t="s">
        <v>6280</v>
      </c>
      <c r="I308" s="3" t="s">
        <v>6288</v>
      </c>
      <c r="J308" s="3" t="s">
        <v>5536</v>
      </c>
      <c r="K308" s="3" t="s">
        <v>6376</v>
      </c>
      <c r="L308" s="8" t="str">
        <f>HYPERLINK("http://slimages.macys.com/is/image/MCY/16192518 ")</f>
        <v xml:space="preserve">http://slimages.macys.com/is/image/MCY/16192518 </v>
      </c>
    </row>
    <row r="309" spans="1:12" ht="24.75" x14ac:dyDescent="0.25">
      <c r="A309" s="6" t="s">
        <v>6377</v>
      </c>
      <c r="B309" s="3" t="s">
        <v>6378</v>
      </c>
      <c r="C309" s="4">
        <v>1</v>
      </c>
      <c r="D309" s="5">
        <v>28</v>
      </c>
      <c r="E309" s="4" t="s">
        <v>6379</v>
      </c>
      <c r="F309" s="3" t="s">
        <v>5532</v>
      </c>
      <c r="G309" s="7" t="s">
        <v>5898</v>
      </c>
      <c r="H309" s="3" t="s">
        <v>6280</v>
      </c>
      <c r="I309" s="3" t="s">
        <v>6288</v>
      </c>
      <c r="J309" s="3" t="s">
        <v>5536</v>
      </c>
      <c r="K309" s="3" t="s">
        <v>6295</v>
      </c>
      <c r="L309" s="8" t="str">
        <f>HYPERLINK("http://slimages.macys.com/is/image/MCY/15883244 ")</f>
        <v xml:space="preserve">http://slimages.macys.com/is/image/MCY/15883244 </v>
      </c>
    </row>
    <row r="310" spans="1:12" ht="24.75" x14ac:dyDescent="0.25">
      <c r="A310" s="6" t="s">
        <v>6380</v>
      </c>
      <c r="B310" s="3" t="s">
        <v>6381</v>
      </c>
      <c r="C310" s="4">
        <v>1</v>
      </c>
      <c r="D310" s="5">
        <v>28</v>
      </c>
      <c r="E310" s="4" t="s">
        <v>6382</v>
      </c>
      <c r="F310" s="3" t="s">
        <v>5540</v>
      </c>
      <c r="G310" s="7" t="s">
        <v>5898</v>
      </c>
      <c r="H310" s="3" t="s">
        <v>6280</v>
      </c>
      <c r="I310" s="3" t="s">
        <v>6288</v>
      </c>
      <c r="J310" s="3" t="s">
        <v>5536</v>
      </c>
      <c r="K310" s="3" t="s">
        <v>6295</v>
      </c>
      <c r="L310" s="8" t="str">
        <f>HYPERLINK("http://slimages.macys.com/is/image/MCY/14501689 ")</f>
        <v xml:space="preserve">http://slimages.macys.com/is/image/MCY/14501689 </v>
      </c>
    </row>
    <row r="311" spans="1:12" ht="24.75" x14ac:dyDescent="0.25">
      <c r="A311" s="6" t="s">
        <v>6383</v>
      </c>
      <c r="B311" s="3" t="s">
        <v>6384</v>
      </c>
      <c r="C311" s="4">
        <v>2</v>
      </c>
      <c r="D311" s="5">
        <v>56</v>
      </c>
      <c r="E311" s="4" t="s">
        <v>6385</v>
      </c>
      <c r="F311" s="3" t="s">
        <v>5540</v>
      </c>
      <c r="G311" s="7" t="s">
        <v>5898</v>
      </c>
      <c r="H311" s="3" t="s">
        <v>6280</v>
      </c>
      <c r="I311" s="3" t="s">
        <v>6288</v>
      </c>
      <c r="J311" s="3" t="s">
        <v>5536</v>
      </c>
      <c r="K311" s="3" t="s">
        <v>6386</v>
      </c>
      <c r="L311" s="8" t="str">
        <f>HYPERLINK("http://slimages.macys.com/is/image/MCY/15661533 ")</f>
        <v xml:space="preserve">http://slimages.macys.com/is/image/MCY/15661533 </v>
      </c>
    </row>
    <row r="312" spans="1:12" ht="24.75" x14ac:dyDescent="0.25">
      <c r="A312" s="6" t="s">
        <v>6387</v>
      </c>
      <c r="B312" s="3" t="s">
        <v>6388</v>
      </c>
      <c r="C312" s="4">
        <v>1</v>
      </c>
      <c r="D312" s="5">
        <v>28</v>
      </c>
      <c r="E312" s="4" t="s">
        <v>6389</v>
      </c>
      <c r="F312" s="3" t="s">
        <v>5540</v>
      </c>
      <c r="G312" s="7" t="s">
        <v>5898</v>
      </c>
      <c r="H312" s="3" t="s">
        <v>6280</v>
      </c>
      <c r="I312" s="3" t="s">
        <v>6288</v>
      </c>
      <c r="J312" s="3" t="s">
        <v>5536</v>
      </c>
      <c r="K312" s="3" t="s">
        <v>6390</v>
      </c>
      <c r="L312" s="8" t="str">
        <f>HYPERLINK("http://slimages.macys.com/is/image/MCY/15663294 ")</f>
        <v xml:space="preserve">http://slimages.macys.com/is/image/MCY/15663294 </v>
      </c>
    </row>
    <row r="313" spans="1:12" ht="24.75" x14ac:dyDescent="0.25">
      <c r="A313" s="6" t="s">
        <v>6391</v>
      </c>
      <c r="B313" s="3" t="s">
        <v>6392</v>
      </c>
      <c r="C313" s="4">
        <v>1</v>
      </c>
      <c r="D313" s="5">
        <v>28</v>
      </c>
      <c r="E313" s="4">
        <v>87991503</v>
      </c>
      <c r="F313" s="3" t="s">
        <v>5532</v>
      </c>
      <c r="G313" s="7" t="s">
        <v>5898</v>
      </c>
      <c r="H313" s="3" t="s">
        <v>6280</v>
      </c>
      <c r="I313" s="3" t="s">
        <v>6281</v>
      </c>
      <c r="J313" s="3" t="s">
        <v>5536</v>
      </c>
      <c r="K313" s="3" t="s">
        <v>6295</v>
      </c>
      <c r="L313" s="8" t="str">
        <f>HYPERLINK("http://slimages.macys.com/is/image/MCY/12076450 ")</f>
        <v xml:space="preserve">http://slimages.macys.com/is/image/MCY/12076450 </v>
      </c>
    </row>
    <row r="314" spans="1:12" ht="24.75" x14ac:dyDescent="0.25">
      <c r="A314" s="6" t="s">
        <v>6393</v>
      </c>
      <c r="B314" s="3" t="s">
        <v>6315</v>
      </c>
      <c r="C314" s="4">
        <v>1</v>
      </c>
      <c r="D314" s="5">
        <v>28</v>
      </c>
      <c r="E314" s="4">
        <v>87994301</v>
      </c>
      <c r="F314" s="3" t="s">
        <v>5661</v>
      </c>
      <c r="G314" s="7" t="s">
        <v>5898</v>
      </c>
      <c r="H314" s="3" t="s">
        <v>6280</v>
      </c>
      <c r="I314" s="3" t="s">
        <v>6281</v>
      </c>
      <c r="J314" s="3" t="s">
        <v>5536</v>
      </c>
      <c r="K314" s="3" t="s">
        <v>6316</v>
      </c>
      <c r="L314" s="8" t="str">
        <f>HYPERLINK("http://slimages.macys.com/is/image/MCY/15883995 ")</f>
        <v xml:space="preserve">http://slimages.macys.com/is/image/MCY/15883995 </v>
      </c>
    </row>
    <row r="315" spans="1:12" ht="24.75" x14ac:dyDescent="0.25">
      <c r="A315" s="6" t="s">
        <v>6394</v>
      </c>
      <c r="B315" s="3" t="s">
        <v>6347</v>
      </c>
      <c r="C315" s="4">
        <v>2</v>
      </c>
      <c r="D315" s="5">
        <v>56</v>
      </c>
      <c r="E315" s="4">
        <v>87994409</v>
      </c>
      <c r="F315" s="3" t="s">
        <v>5532</v>
      </c>
      <c r="G315" s="7" t="s">
        <v>5898</v>
      </c>
      <c r="H315" s="3" t="s">
        <v>6280</v>
      </c>
      <c r="I315" s="3" t="s">
        <v>6281</v>
      </c>
      <c r="J315" s="3" t="s">
        <v>5536</v>
      </c>
      <c r="K315" s="3" t="s">
        <v>6332</v>
      </c>
      <c r="L315" s="8" t="str">
        <f>HYPERLINK("http://slimages.macys.com/is/image/MCY/15147571 ")</f>
        <v xml:space="preserve">http://slimages.macys.com/is/image/MCY/15147571 </v>
      </c>
    </row>
    <row r="316" spans="1:12" ht="24.75" x14ac:dyDescent="0.25">
      <c r="A316" s="6" t="s">
        <v>6395</v>
      </c>
      <c r="B316" s="3" t="s">
        <v>6396</v>
      </c>
      <c r="C316" s="4">
        <v>2</v>
      </c>
      <c r="D316" s="5">
        <v>56</v>
      </c>
      <c r="E316" s="4" t="s">
        <v>6397</v>
      </c>
      <c r="F316" s="3" t="s">
        <v>5625</v>
      </c>
      <c r="G316" s="7" t="s">
        <v>5898</v>
      </c>
      <c r="H316" s="3" t="s">
        <v>6280</v>
      </c>
      <c r="I316" s="3" t="s">
        <v>6288</v>
      </c>
      <c r="J316" s="3" t="s">
        <v>5536</v>
      </c>
      <c r="K316" s="3" t="s">
        <v>6295</v>
      </c>
      <c r="L316" s="8" t="str">
        <f>HYPERLINK("http://slimages.macys.com/is/image/MCY/16060968 ")</f>
        <v xml:space="preserve">http://slimages.macys.com/is/image/MCY/16060968 </v>
      </c>
    </row>
    <row r="317" spans="1:12" ht="24.75" x14ac:dyDescent="0.25">
      <c r="A317" s="6" t="s">
        <v>6398</v>
      </c>
      <c r="B317" s="3" t="s">
        <v>6399</v>
      </c>
      <c r="C317" s="4">
        <v>3</v>
      </c>
      <c r="D317" s="5">
        <v>84</v>
      </c>
      <c r="E317" s="4">
        <v>87984601</v>
      </c>
      <c r="F317" s="3" t="s">
        <v>5661</v>
      </c>
      <c r="G317" s="7" t="s">
        <v>5898</v>
      </c>
      <c r="H317" s="3" t="s">
        <v>6280</v>
      </c>
      <c r="I317" s="3" t="s">
        <v>6281</v>
      </c>
      <c r="J317" s="3" t="s">
        <v>5536</v>
      </c>
      <c r="K317" s="3" t="s">
        <v>6303</v>
      </c>
      <c r="L317" s="8" t="str">
        <f>HYPERLINK("http://slimages.macys.com/is/image/MCY/11251126 ")</f>
        <v xml:space="preserve">http://slimages.macys.com/is/image/MCY/11251126 </v>
      </c>
    </row>
    <row r="318" spans="1:12" ht="24.75" x14ac:dyDescent="0.25">
      <c r="A318" s="6" t="s">
        <v>6400</v>
      </c>
      <c r="B318" s="3" t="s">
        <v>6401</v>
      </c>
      <c r="C318" s="4">
        <v>1</v>
      </c>
      <c r="D318" s="5">
        <v>28</v>
      </c>
      <c r="E318" s="4" t="s">
        <v>6402</v>
      </c>
      <c r="F318" s="3" t="s">
        <v>5540</v>
      </c>
      <c r="G318" s="7" t="s">
        <v>5898</v>
      </c>
      <c r="H318" s="3" t="s">
        <v>6280</v>
      </c>
      <c r="I318" s="3" t="s">
        <v>6312</v>
      </c>
      <c r="J318" s="3" t="s">
        <v>5536</v>
      </c>
      <c r="K318" s="3" t="s">
        <v>6303</v>
      </c>
      <c r="L318" s="8" t="str">
        <f>HYPERLINK("http://slimages.macys.com/is/image/MCY/12077077 ")</f>
        <v xml:space="preserve">http://slimages.macys.com/is/image/MCY/12077077 </v>
      </c>
    </row>
    <row r="319" spans="1:12" ht="24.75" x14ac:dyDescent="0.25">
      <c r="A319" s="6" t="s">
        <v>6403</v>
      </c>
      <c r="B319" s="3" t="s">
        <v>6378</v>
      </c>
      <c r="C319" s="4">
        <v>1</v>
      </c>
      <c r="D319" s="5">
        <v>28</v>
      </c>
      <c r="E319" s="4" t="s">
        <v>6379</v>
      </c>
      <c r="F319" s="3" t="s">
        <v>5625</v>
      </c>
      <c r="G319" s="7" t="s">
        <v>5898</v>
      </c>
      <c r="H319" s="3" t="s">
        <v>6280</v>
      </c>
      <c r="I319" s="3" t="s">
        <v>6288</v>
      </c>
      <c r="J319" s="3" t="s">
        <v>5536</v>
      </c>
      <c r="K319" s="3" t="s">
        <v>6295</v>
      </c>
      <c r="L319" s="8" t="str">
        <f>HYPERLINK("http://slimages.macys.com/is/image/MCY/15883244 ")</f>
        <v xml:space="preserve">http://slimages.macys.com/is/image/MCY/15883244 </v>
      </c>
    </row>
    <row r="320" spans="1:12" ht="24.75" x14ac:dyDescent="0.25">
      <c r="A320" s="6" t="s">
        <v>6404</v>
      </c>
      <c r="B320" s="3" t="s">
        <v>6405</v>
      </c>
      <c r="C320" s="4">
        <v>1</v>
      </c>
      <c r="D320" s="5">
        <v>28</v>
      </c>
      <c r="E320" s="4" t="s">
        <v>6406</v>
      </c>
      <c r="F320" s="3" t="s">
        <v>5754</v>
      </c>
      <c r="G320" s="7" t="s">
        <v>5898</v>
      </c>
      <c r="H320" s="3" t="s">
        <v>6280</v>
      </c>
      <c r="I320" s="3" t="s">
        <v>6312</v>
      </c>
      <c r="J320" s="3" t="s">
        <v>5536</v>
      </c>
      <c r="K320" s="3" t="s">
        <v>6303</v>
      </c>
      <c r="L320" s="8" t="str">
        <f>HYPERLINK("http://slimages.macys.com/is/image/MCY/15144773 ")</f>
        <v xml:space="preserve">http://slimages.macys.com/is/image/MCY/15144773 </v>
      </c>
    </row>
    <row r="321" spans="1:12" ht="24.75" x14ac:dyDescent="0.25">
      <c r="A321" s="6" t="s">
        <v>6407</v>
      </c>
      <c r="B321" s="3" t="s">
        <v>6408</v>
      </c>
      <c r="C321" s="4">
        <v>1</v>
      </c>
      <c r="D321" s="5">
        <v>28</v>
      </c>
      <c r="E321" s="4" t="s">
        <v>6409</v>
      </c>
      <c r="F321" s="3" t="s">
        <v>6410</v>
      </c>
      <c r="G321" s="7" t="s">
        <v>5898</v>
      </c>
      <c r="H321" s="3" t="s">
        <v>6280</v>
      </c>
      <c r="I321" s="3" t="s">
        <v>6312</v>
      </c>
      <c r="J321" s="3" t="s">
        <v>5536</v>
      </c>
      <c r="K321" s="3" t="s">
        <v>6303</v>
      </c>
      <c r="L321" s="8" t="str">
        <f>HYPERLINK("http://slimages.macys.com/is/image/MCY/15349483 ")</f>
        <v xml:space="preserve">http://slimages.macys.com/is/image/MCY/15349483 </v>
      </c>
    </row>
    <row r="322" spans="1:12" ht="24.75" x14ac:dyDescent="0.25">
      <c r="A322" s="6" t="s">
        <v>6411</v>
      </c>
      <c r="B322" s="3" t="s">
        <v>6412</v>
      </c>
      <c r="C322" s="4">
        <v>1</v>
      </c>
      <c r="D322" s="5">
        <v>28</v>
      </c>
      <c r="E322" s="4" t="s">
        <v>6413</v>
      </c>
      <c r="F322" s="3" t="s">
        <v>6335</v>
      </c>
      <c r="G322" s="7" t="s">
        <v>5898</v>
      </c>
      <c r="H322" s="3" t="s">
        <v>6280</v>
      </c>
      <c r="I322" s="3" t="s">
        <v>6288</v>
      </c>
      <c r="J322" s="3" t="s">
        <v>5536</v>
      </c>
      <c r="K322" s="3" t="s">
        <v>6295</v>
      </c>
      <c r="L322" s="8" t="str">
        <f>HYPERLINK("http://slimages.macys.com/is/image/MCY/15883258 ")</f>
        <v xml:space="preserve">http://slimages.macys.com/is/image/MCY/15883258 </v>
      </c>
    </row>
    <row r="323" spans="1:12" x14ac:dyDescent="0.25">
      <c r="A323" s="6" t="s">
        <v>6414</v>
      </c>
      <c r="B323" s="3" t="s">
        <v>6415</v>
      </c>
      <c r="C323" s="4">
        <v>1</v>
      </c>
      <c r="D323" s="5">
        <v>39.99</v>
      </c>
      <c r="E323" s="4" t="s">
        <v>6416</v>
      </c>
      <c r="F323" s="3" t="s">
        <v>5532</v>
      </c>
      <c r="G323" s="7" t="s">
        <v>5533</v>
      </c>
      <c r="H323" s="3" t="s">
        <v>5978</v>
      </c>
      <c r="I323" s="3" t="s">
        <v>5979</v>
      </c>
      <c r="J323" s="3" t="s">
        <v>5536</v>
      </c>
      <c r="K323" s="3" t="s">
        <v>5594</v>
      </c>
      <c r="L323" s="8" t="str">
        <f>HYPERLINK("http://slimages.macys.com/is/image/MCY/15899385 ")</f>
        <v xml:space="preserve">http://slimages.macys.com/is/image/MCY/15899385 </v>
      </c>
    </row>
    <row r="324" spans="1:12" ht="24.75" x14ac:dyDescent="0.25">
      <c r="A324" s="6" t="s">
        <v>6417</v>
      </c>
      <c r="B324" s="3" t="s">
        <v>6418</v>
      </c>
      <c r="C324" s="4">
        <v>2</v>
      </c>
      <c r="D324" s="5">
        <v>55.98</v>
      </c>
      <c r="E324" s="4" t="s">
        <v>6419</v>
      </c>
      <c r="F324" s="3" t="s">
        <v>6410</v>
      </c>
      <c r="G324" s="7" t="s">
        <v>6252</v>
      </c>
      <c r="H324" s="3" t="s">
        <v>6280</v>
      </c>
      <c r="I324" s="3" t="s">
        <v>6420</v>
      </c>
      <c r="J324" s="3" t="s">
        <v>5536</v>
      </c>
      <c r="K324" s="3" t="s">
        <v>5727</v>
      </c>
      <c r="L324" s="8" t="str">
        <f>HYPERLINK("http://slimages.macys.com/is/image/MCY/15133354 ")</f>
        <v xml:space="preserve">http://slimages.macys.com/is/image/MCY/15133354 </v>
      </c>
    </row>
    <row r="325" spans="1:12" ht="24.75" x14ac:dyDescent="0.25">
      <c r="A325" s="6" t="s">
        <v>6421</v>
      </c>
      <c r="B325" s="3" t="s">
        <v>6422</v>
      </c>
      <c r="C325" s="4">
        <v>1</v>
      </c>
      <c r="D325" s="5">
        <v>27.99</v>
      </c>
      <c r="E325" s="4" t="s">
        <v>6423</v>
      </c>
      <c r="F325" s="3" t="s">
        <v>5532</v>
      </c>
      <c r="G325" s="7" t="s">
        <v>6252</v>
      </c>
      <c r="H325" s="3" t="s">
        <v>6280</v>
      </c>
      <c r="I325" s="3" t="s">
        <v>6420</v>
      </c>
      <c r="J325" s="3" t="s">
        <v>5536</v>
      </c>
      <c r="K325" s="3" t="s">
        <v>5727</v>
      </c>
      <c r="L325" s="8" t="str">
        <f>HYPERLINK("http://slimages.macys.com/is/image/MCY/14815282 ")</f>
        <v xml:space="preserve">http://slimages.macys.com/is/image/MCY/14815282 </v>
      </c>
    </row>
    <row r="326" spans="1:12" ht="24.75" x14ac:dyDescent="0.25">
      <c r="A326" s="6" t="s">
        <v>6424</v>
      </c>
      <c r="B326" s="3" t="s">
        <v>6425</v>
      </c>
      <c r="C326" s="4">
        <v>1</v>
      </c>
      <c r="D326" s="5">
        <v>27.99</v>
      </c>
      <c r="E326" s="4" t="s">
        <v>6426</v>
      </c>
      <c r="F326" s="3" t="s">
        <v>5532</v>
      </c>
      <c r="G326" s="7" t="s">
        <v>6252</v>
      </c>
      <c r="H326" s="3" t="s">
        <v>6280</v>
      </c>
      <c r="I326" s="3" t="s">
        <v>6420</v>
      </c>
      <c r="J326" s="3" t="s">
        <v>5536</v>
      </c>
      <c r="K326" s="3" t="s">
        <v>5727</v>
      </c>
      <c r="L326" s="8" t="str">
        <f>HYPERLINK("http://slimages.macys.com/is/image/MCY/16125170 ")</f>
        <v xml:space="preserve">http://slimages.macys.com/is/image/MCY/16125170 </v>
      </c>
    </row>
    <row r="327" spans="1:12" ht="36.75" x14ac:dyDescent="0.25">
      <c r="A327" s="6" t="s">
        <v>6427</v>
      </c>
      <c r="B327" s="3" t="s">
        <v>6428</v>
      </c>
      <c r="C327" s="4">
        <v>2</v>
      </c>
      <c r="D327" s="5">
        <v>48</v>
      </c>
      <c r="E327" s="4" t="s">
        <v>6429</v>
      </c>
      <c r="F327" s="3" t="s">
        <v>5540</v>
      </c>
      <c r="G327" s="7" t="s">
        <v>5596</v>
      </c>
      <c r="H327" s="3" t="s">
        <v>6430</v>
      </c>
      <c r="I327" s="3" t="s">
        <v>6431</v>
      </c>
      <c r="J327" s="3" t="s">
        <v>5536</v>
      </c>
      <c r="K327" s="3" t="s">
        <v>6021</v>
      </c>
      <c r="L327" s="8" t="str">
        <f>HYPERLINK("http://slimages.macys.com/is/image/MCY/15196224 ")</f>
        <v xml:space="preserve">http://slimages.macys.com/is/image/MCY/15196224 </v>
      </c>
    </row>
    <row r="328" spans="1:12" ht="24.75" x14ac:dyDescent="0.25">
      <c r="A328" s="6" t="s">
        <v>6432</v>
      </c>
      <c r="B328" s="3" t="s">
        <v>6433</v>
      </c>
      <c r="C328" s="4">
        <v>1</v>
      </c>
      <c r="D328" s="5">
        <v>27.99</v>
      </c>
      <c r="E328" s="4" t="s">
        <v>6434</v>
      </c>
      <c r="F328" s="3" t="s">
        <v>5661</v>
      </c>
      <c r="G328" s="7" t="s">
        <v>6252</v>
      </c>
      <c r="H328" s="3" t="s">
        <v>6280</v>
      </c>
      <c r="I328" s="3" t="s">
        <v>6420</v>
      </c>
      <c r="J328" s="3" t="s">
        <v>5536</v>
      </c>
      <c r="K328" s="3" t="s">
        <v>6295</v>
      </c>
      <c r="L328" s="8" t="str">
        <f>HYPERLINK("http://slimages.macys.com/is/image/MCY/11281827 ")</f>
        <v xml:space="preserve">http://slimages.macys.com/is/image/MCY/11281827 </v>
      </c>
    </row>
    <row r="329" spans="1:12" ht="24.75" x14ac:dyDescent="0.25">
      <c r="A329" s="6" t="s">
        <v>6435</v>
      </c>
      <c r="B329" s="3" t="s">
        <v>6436</v>
      </c>
      <c r="C329" s="4">
        <v>1</v>
      </c>
      <c r="D329" s="5">
        <v>27.99</v>
      </c>
      <c r="E329" s="4" t="s">
        <v>6437</v>
      </c>
      <c r="F329" s="3" t="s">
        <v>5532</v>
      </c>
      <c r="G329" s="7" t="s">
        <v>6252</v>
      </c>
      <c r="H329" s="3" t="s">
        <v>6280</v>
      </c>
      <c r="I329" s="3" t="s">
        <v>6420</v>
      </c>
      <c r="J329" s="3" t="s">
        <v>5536</v>
      </c>
      <c r="K329" s="3" t="s">
        <v>5727</v>
      </c>
      <c r="L329" s="8" t="str">
        <f>HYPERLINK("http://slimages.macys.com/is/image/MCY/15900446 ")</f>
        <v xml:space="preserve">http://slimages.macys.com/is/image/MCY/15900446 </v>
      </c>
    </row>
    <row r="330" spans="1:12" ht="24.75" x14ac:dyDescent="0.25">
      <c r="A330" s="6" t="s">
        <v>6438</v>
      </c>
      <c r="B330" s="3" t="s">
        <v>6439</v>
      </c>
      <c r="C330" s="4">
        <v>1</v>
      </c>
      <c r="D330" s="5">
        <v>27.99</v>
      </c>
      <c r="E330" s="4" t="s">
        <v>6440</v>
      </c>
      <c r="F330" s="3" t="s">
        <v>5661</v>
      </c>
      <c r="G330" s="7" t="s">
        <v>6252</v>
      </c>
      <c r="H330" s="3" t="s">
        <v>6280</v>
      </c>
      <c r="I330" s="3" t="s">
        <v>6420</v>
      </c>
      <c r="J330" s="3" t="s">
        <v>5536</v>
      </c>
      <c r="K330" s="3" t="s">
        <v>5727</v>
      </c>
      <c r="L330" s="8" t="str">
        <f>HYPERLINK("http://slimages.macys.com/is/image/MCY/13849739 ")</f>
        <v xml:space="preserve">http://slimages.macys.com/is/image/MCY/13849739 </v>
      </c>
    </row>
    <row r="331" spans="1:12" ht="24.75" x14ac:dyDescent="0.25">
      <c r="A331" s="6" t="s">
        <v>6441</v>
      </c>
      <c r="B331" s="3" t="s">
        <v>6442</v>
      </c>
      <c r="C331" s="4">
        <v>1</v>
      </c>
      <c r="D331" s="5">
        <v>27.99</v>
      </c>
      <c r="E331" s="4" t="s">
        <v>6443</v>
      </c>
      <c r="F331" s="3" t="s">
        <v>5552</v>
      </c>
      <c r="G331" s="7" t="s">
        <v>6252</v>
      </c>
      <c r="H331" s="3" t="s">
        <v>6280</v>
      </c>
      <c r="I331" s="3" t="s">
        <v>6420</v>
      </c>
      <c r="J331" s="3" t="s">
        <v>5536</v>
      </c>
      <c r="K331" s="3" t="s">
        <v>6303</v>
      </c>
      <c r="L331" s="8" t="str">
        <f>HYPERLINK("http://slimages.macys.com/is/image/MCY/11181486 ")</f>
        <v xml:space="preserve">http://slimages.macys.com/is/image/MCY/11181486 </v>
      </c>
    </row>
    <row r="332" spans="1:12" ht="24.75" x14ac:dyDescent="0.25">
      <c r="A332" s="6" t="s">
        <v>6444</v>
      </c>
      <c r="B332" s="3" t="s">
        <v>6445</v>
      </c>
      <c r="C332" s="4">
        <v>1</v>
      </c>
      <c r="D332" s="5">
        <v>27.99</v>
      </c>
      <c r="E332" s="4" t="s">
        <v>6446</v>
      </c>
      <c r="F332" s="3" t="s">
        <v>5610</v>
      </c>
      <c r="G332" s="7" t="s">
        <v>6252</v>
      </c>
      <c r="H332" s="3" t="s">
        <v>6280</v>
      </c>
      <c r="I332" s="3" t="s">
        <v>6420</v>
      </c>
      <c r="J332" s="3" t="s">
        <v>5536</v>
      </c>
      <c r="K332" s="3" t="s">
        <v>5727</v>
      </c>
      <c r="L332" s="8" t="str">
        <f>HYPERLINK("http://slimages.macys.com/is/image/MCY/10891305 ")</f>
        <v xml:space="preserve">http://slimages.macys.com/is/image/MCY/10891305 </v>
      </c>
    </row>
    <row r="333" spans="1:12" ht="24.75" x14ac:dyDescent="0.25">
      <c r="A333" s="6" t="s">
        <v>6447</v>
      </c>
      <c r="B333" s="3" t="s">
        <v>6436</v>
      </c>
      <c r="C333" s="4">
        <v>1</v>
      </c>
      <c r="D333" s="5">
        <v>27.99</v>
      </c>
      <c r="E333" s="4" t="s">
        <v>6437</v>
      </c>
      <c r="F333" s="3" t="s">
        <v>5540</v>
      </c>
      <c r="G333" s="7" t="s">
        <v>6252</v>
      </c>
      <c r="H333" s="3" t="s">
        <v>6280</v>
      </c>
      <c r="I333" s="3" t="s">
        <v>6420</v>
      </c>
      <c r="J333" s="3" t="s">
        <v>5536</v>
      </c>
      <c r="K333" s="3" t="s">
        <v>5727</v>
      </c>
      <c r="L333" s="8" t="str">
        <f>HYPERLINK("http://slimages.macys.com/is/image/MCY/15900446 ")</f>
        <v xml:space="preserve">http://slimages.macys.com/is/image/MCY/15900446 </v>
      </c>
    </row>
    <row r="334" spans="1:12" ht="24.75" x14ac:dyDescent="0.25">
      <c r="A334" s="6" t="s">
        <v>6448</v>
      </c>
      <c r="B334" s="3" t="s">
        <v>6449</v>
      </c>
      <c r="C334" s="4">
        <v>1</v>
      </c>
      <c r="D334" s="5">
        <v>27.99</v>
      </c>
      <c r="E334" s="4" t="s">
        <v>6450</v>
      </c>
      <c r="F334" s="3" t="s">
        <v>5540</v>
      </c>
      <c r="G334" s="7" t="s">
        <v>6252</v>
      </c>
      <c r="H334" s="3" t="s">
        <v>6280</v>
      </c>
      <c r="I334" s="3" t="s">
        <v>6420</v>
      </c>
      <c r="J334" s="3" t="s">
        <v>5536</v>
      </c>
      <c r="K334" s="3" t="s">
        <v>5727</v>
      </c>
      <c r="L334" s="8" t="str">
        <f>HYPERLINK("http://slimages.macys.com/is/image/MCY/15879399 ")</f>
        <v xml:space="preserve">http://slimages.macys.com/is/image/MCY/15879399 </v>
      </c>
    </row>
    <row r="335" spans="1:12" ht="24.75" x14ac:dyDescent="0.25">
      <c r="A335" s="6" t="s">
        <v>6451</v>
      </c>
      <c r="B335" s="3" t="s">
        <v>6452</v>
      </c>
      <c r="C335" s="4">
        <v>1</v>
      </c>
      <c r="D335" s="5">
        <v>27.99</v>
      </c>
      <c r="E335" s="4" t="s">
        <v>6453</v>
      </c>
      <c r="F335" s="3" t="s">
        <v>5532</v>
      </c>
      <c r="G335" s="7" t="s">
        <v>6252</v>
      </c>
      <c r="H335" s="3" t="s">
        <v>6280</v>
      </c>
      <c r="I335" s="3" t="s">
        <v>6420</v>
      </c>
      <c r="J335" s="3" t="s">
        <v>5536</v>
      </c>
      <c r="K335" s="3" t="s">
        <v>5727</v>
      </c>
      <c r="L335" s="8" t="str">
        <f>HYPERLINK("http://slimages.macys.com/is/image/MCY/16125391 ")</f>
        <v xml:space="preserve">http://slimages.macys.com/is/image/MCY/16125391 </v>
      </c>
    </row>
    <row r="336" spans="1:12" ht="24.75" x14ac:dyDescent="0.25">
      <c r="A336" s="6" t="s">
        <v>6454</v>
      </c>
      <c r="B336" s="3" t="s">
        <v>6455</v>
      </c>
      <c r="C336" s="4">
        <v>2</v>
      </c>
      <c r="D336" s="5">
        <v>55.98</v>
      </c>
      <c r="E336" s="4" t="s">
        <v>6456</v>
      </c>
      <c r="F336" s="3" t="s">
        <v>5540</v>
      </c>
      <c r="G336" s="7" t="s">
        <v>6252</v>
      </c>
      <c r="H336" s="3" t="s">
        <v>6280</v>
      </c>
      <c r="I336" s="3" t="s">
        <v>6420</v>
      </c>
      <c r="J336" s="3" t="s">
        <v>5536</v>
      </c>
      <c r="K336" s="3" t="s">
        <v>5727</v>
      </c>
      <c r="L336" s="8" t="str">
        <f>HYPERLINK("http://slimages.macys.com/is/image/MCY/15133430 ")</f>
        <v xml:space="preserve">http://slimages.macys.com/is/image/MCY/15133430 </v>
      </c>
    </row>
    <row r="337" spans="1:12" ht="24.75" x14ac:dyDescent="0.25">
      <c r="A337" s="6" t="s">
        <v>6457</v>
      </c>
      <c r="B337" s="3" t="s">
        <v>6458</v>
      </c>
      <c r="C337" s="4">
        <v>2</v>
      </c>
      <c r="D337" s="5">
        <v>55.98</v>
      </c>
      <c r="E337" s="4" t="s">
        <v>6459</v>
      </c>
      <c r="F337" s="3" t="s">
        <v>5532</v>
      </c>
      <c r="G337" s="7" t="s">
        <v>6252</v>
      </c>
      <c r="H337" s="3" t="s">
        <v>6280</v>
      </c>
      <c r="I337" s="3" t="s">
        <v>6420</v>
      </c>
      <c r="J337" s="3" t="s">
        <v>5536</v>
      </c>
      <c r="K337" s="3" t="s">
        <v>6338</v>
      </c>
      <c r="L337" s="8" t="str">
        <f>HYPERLINK("http://slimages.macys.com/is/image/MCY/11759362 ")</f>
        <v xml:space="preserve">http://slimages.macys.com/is/image/MCY/11759362 </v>
      </c>
    </row>
    <row r="338" spans="1:12" ht="24.75" x14ac:dyDescent="0.25">
      <c r="A338" s="6" t="s">
        <v>6460</v>
      </c>
      <c r="B338" s="3" t="s">
        <v>6452</v>
      </c>
      <c r="C338" s="4">
        <v>1</v>
      </c>
      <c r="D338" s="5">
        <v>27.99</v>
      </c>
      <c r="E338" s="4" t="s">
        <v>6453</v>
      </c>
      <c r="F338" s="3" t="s">
        <v>5745</v>
      </c>
      <c r="G338" s="7" t="s">
        <v>6252</v>
      </c>
      <c r="H338" s="3" t="s">
        <v>6280</v>
      </c>
      <c r="I338" s="3" t="s">
        <v>6420</v>
      </c>
      <c r="J338" s="3" t="s">
        <v>5536</v>
      </c>
      <c r="K338" s="3" t="s">
        <v>5727</v>
      </c>
      <c r="L338" s="8" t="str">
        <f>HYPERLINK("http://slimages.macys.com/is/image/MCY/16125391 ")</f>
        <v xml:space="preserve">http://slimages.macys.com/is/image/MCY/16125391 </v>
      </c>
    </row>
    <row r="339" spans="1:12" ht="24.75" x14ac:dyDescent="0.25">
      <c r="A339" s="6" t="s">
        <v>6461</v>
      </c>
      <c r="B339" s="3" t="s">
        <v>6452</v>
      </c>
      <c r="C339" s="4">
        <v>2</v>
      </c>
      <c r="D339" s="5">
        <v>55.98</v>
      </c>
      <c r="E339" s="4" t="s">
        <v>6453</v>
      </c>
      <c r="F339" s="3" t="s">
        <v>6300</v>
      </c>
      <c r="G339" s="7" t="s">
        <v>6252</v>
      </c>
      <c r="H339" s="3" t="s">
        <v>6280</v>
      </c>
      <c r="I339" s="3" t="s">
        <v>6420</v>
      </c>
      <c r="J339" s="3" t="s">
        <v>5536</v>
      </c>
      <c r="K339" s="3" t="s">
        <v>5727</v>
      </c>
      <c r="L339" s="8" t="str">
        <f>HYPERLINK("http://slimages.macys.com/is/image/MCY/16125391 ")</f>
        <v xml:space="preserve">http://slimages.macys.com/is/image/MCY/16125391 </v>
      </c>
    </row>
    <row r="340" spans="1:12" x14ac:dyDescent="0.25">
      <c r="A340" s="6" t="s">
        <v>6462</v>
      </c>
      <c r="B340" s="3" t="s">
        <v>6463</v>
      </c>
      <c r="C340" s="4">
        <v>1</v>
      </c>
      <c r="D340" s="5">
        <v>39.5</v>
      </c>
      <c r="E340" s="4">
        <v>100068391</v>
      </c>
      <c r="F340" s="3" t="s">
        <v>5540</v>
      </c>
      <c r="G340" s="7" t="s">
        <v>5560</v>
      </c>
      <c r="H340" s="3" t="s">
        <v>5585</v>
      </c>
      <c r="I340" s="3" t="s">
        <v>5734</v>
      </c>
      <c r="J340" s="3" t="s">
        <v>5536</v>
      </c>
      <c r="K340" s="3" t="s">
        <v>5549</v>
      </c>
      <c r="L340" s="8" t="str">
        <f>HYPERLINK("http://slimages.macys.com/is/image/MCY/14628724 ")</f>
        <v xml:space="preserve">http://slimages.macys.com/is/image/MCY/14628724 </v>
      </c>
    </row>
    <row r="341" spans="1:12" ht="24.75" x14ac:dyDescent="0.25">
      <c r="A341" s="6" t="s">
        <v>6464</v>
      </c>
      <c r="B341" s="3" t="s">
        <v>6465</v>
      </c>
      <c r="C341" s="4">
        <v>1</v>
      </c>
      <c r="D341" s="5">
        <v>23</v>
      </c>
      <c r="E341" s="4" t="s">
        <v>6466</v>
      </c>
      <c r="F341" s="3" t="s">
        <v>5552</v>
      </c>
      <c r="G341" s="7"/>
      <c r="H341" s="3" t="s">
        <v>5825</v>
      </c>
      <c r="I341" s="3" t="s">
        <v>5826</v>
      </c>
      <c r="J341" s="3" t="s">
        <v>5536</v>
      </c>
      <c r="K341" s="3" t="s">
        <v>5594</v>
      </c>
      <c r="L341" s="8" t="str">
        <f t="shared" ref="L341:L352" si="2">HYPERLINK("http://slimages.macys.com/is/image/MCY/10267363 ")</f>
        <v xml:space="preserve">http://slimages.macys.com/is/image/MCY/10267363 </v>
      </c>
    </row>
    <row r="342" spans="1:12" ht="24.75" x14ac:dyDescent="0.25">
      <c r="A342" s="6" t="s">
        <v>6467</v>
      </c>
      <c r="B342" s="3" t="s">
        <v>6465</v>
      </c>
      <c r="C342" s="4">
        <v>1</v>
      </c>
      <c r="D342" s="5">
        <v>23</v>
      </c>
      <c r="E342" s="4" t="s">
        <v>6466</v>
      </c>
      <c r="F342" s="3" t="s">
        <v>5552</v>
      </c>
      <c r="G342" s="7" t="s">
        <v>5762</v>
      </c>
      <c r="H342" s="3" t="s">
        <v>5825</v>
      </c>
      <c r="I342" s="3" t="s">
        <v>5826</v>
      </c>
      <c r="J342" s="3" t="s">
        <v>5536</v>
      </c>
      <c r="K342" s="3" t="s">
        <v>5594</v>
      </c>
      <c r="L342" s="8" t="str">
        <f t="shared" si="2"/>
        <v xml:space="preserve">http://slimages.macys.com/is/image/MCY/10267363 </v>
      </c>
    </row>
    <row r="343" spans="1:12" ht="24.75" x14ac:dyDescent="0.25">
      <c r="A343" s="6" t="s">
        <v>6468</v>
      </c>
      <c r="B343" s="3" t="s">
        <v>6465</v>
      </c>
      <c r="C343" s="4">
        <v>1</v>
      </c>
      <c r="D343" s="5">
        <v>23</v>
      </c>
      <c r="E343" s="4" t="s">
        <v>6466</v>
      </c>
      <c r="F343" s="3" t="s">
        <v>5552</v>
      </c>
      <c r="G343" s="7" t="s">
        <v>6025</v>
      </c>
      <c r="H343" s="3" t="s">
        <v>5825</v>
      </c>
      <c r="I343" s="3" t="s">
        <v>5826</v>
      </c>
      <c r="J343" s="3" t="s">
        <v>5536</v>
      </c>
      <c r="K343" s="3" t="s">
        <v>5594</v>
      </c>
      <c r="L343" s="8" t="str">
        <f t="shared" si="2"/>
        <v xml:space="preserve">http://slimages.macys.com/is/image/MCY/10267363 </v>
      </c>
    </row>
    <row r="344" spans="1:12" ht="24.75" x14ac:dyDescent="0.25">
      <c r="A344" s="6" t="s">
        <v>6469</v>
      </c>
      <c r="B344" s="3" t="s">
        <v>6465</v>
      </c>
      <c r="C344" s="4">
        <v>1</v>
      </c>
      <c r="D344" s="5">
        <v>23</v>
      </c>
      <c r="E344" s="4" t="s">
        <v>6466</v>
      </c>
      <c r="F344" s="3" t="s">
        <v>5552</v>
      </c>
      <c r="G344" s="7"/>
      <c r="H344" s="3" t="s">
        <v>5825</v>
      </c>
      <c r="I344" s="3" t="s">
        <v>5826</v>
      </c>
      <c r="J344" s="3" t="s">
        <v>5536</v>
      </c>
      <c r="K344" s="3" t="s">
        <v>5594</v>
      </c>
      <c r="L344" s="8" t="str">
        <f t="shared" si="2"/>
        <v xml:space="preserve">http://slimages.macys.com/is/image/MCY/10267363 </v>
      </c>
    </row>
    <row r="345" spans="1:12" ht="24.75" x14ac:dyDescent="0.25">
      <c r="A345" s="6" t="s">
        <v>6470</v>
      </c>
      <c r="B345" s="3" t="s">
        <v>6471</v>
      </c>
      <c r="C345" s="4">
        <v>1</v>
      </c>
      <c r="D345" s="5">
        <v>23</v>
      </c>
      <c r="E345" s="4" t="s">
        <v>6472</v>
      </c>
      <c r="F345" s="3" t="s">
        <v>5532</v>
      </c>
      <c r="G345" s="7" t="s">
        <v>5824</v>
      </c>
      <c r="H345" s="3" t="s">
        <v>5825</v>
      </c>
      <c r="I345" s="3" t="s">
        <v>5826</v>
      </c>
      <c r="J345" s="3" t="s">
        <v>5536</v>
      </c>
      <c r="K345" s="3" t="s">
        <v>5594</v>
      </c>
      <c r="L345" s="8" t="str">
        <f t="shared" si="2"/>
        <v xml:space="preserve">http://slimages.macys.com/is/image/MCY/10267363 </v>
      </c>
    </row>
    <row r="346" spans="1:12" ht="24.75" x14ac:dyDescent="0.25">
      <c r="A346" s="6" t="s">
        <v>6473</v>
      </c>
      <c r="B346" s="3" t="s">
        <v>6465</v>
      </c>
      <c r="C346" s="4">
        <v>1</v>
      </c>
      <c r="D346" s="5">
        <v>23</v>
      </c>
      <c r="E346" s="4" t="s">
        <v>6466</v>
      </c>
      <c r="F346" s="3" t="s">
        <v>5552</v>
      </c>
      <c r="G346" s="7" t="s">
        <v>5824</v>
      </c>
      <c r="H346" s="3" t="s">
        <v>5825</v>
      </c>
      <c r="I346" s="3" t="s">
        <v>5826</v>
      </c>
      <c r="J346" s="3" t="s">
        <v>5536</v>
      </c>
      <c r="K346" s="3" t="s">
        <v>5594</v>
      </c>
      <c r="L346" s="8" t="str">
        <f t="shared" si="2"/>
        <v xml:space="preserve">http://slimages.macys.com/is/image/MCY/10267363 </v>
      </c>
    </row>
    <row r="347" spans="1:12" ht="24.75" x14ac:dyDescent="0.25">
      <c r="A347" s="6" t="s">
        <v>6474</v>
      </c>
      <c r="B347" s="3" t="s">
        <v>6471</v>
      </c>
      <c r="C347" s="4">
        <v>2</v>
      </c>
      <c r="D347" s="5">
        <v>46</v>
      </c>
      <c r="E347" s="4" t="s">
        <v>6472</v>
      </c>
      <c r="F347" s="3" t="s">
        <v>5532</v>
      </c>
      <c r="G347" s="7" t="s">
        <v>5835</v>
      </c>
      <c r="H347" s="3" t="s">
        <v>5825</v>
      </c>
      <c r="I347" s="3" t="s">
        <v>5826</v>
      </c>
      <c r="J347" s="3" t="s">
        <v>5536</v>
      </c>
      <c r="K347" s="3" t="s">
        <v>5594</v>
      </c>
      <c r="L347" s="8" t="str">
        <f t="shared" si="2"/>
        <v xml:space="preserve">http://slimages.macys.com/is/image/MCY/10267363 </v>
      </c>
    </row>
    <row r="348" spans="1:12" ht="24.75" x14ac:dyDescent="0.25">
      <c r="A348" s="6" t="s">
        <v>6475</v>
      </c>
      <c r="B348" s="3" t="s">
        <v>6471</v>
      </c>
      <c r="C348" s="4">
        <v>1</v>
      </c>
      <c r="D348" s="5">
        <v>23</v>
      </c>
      <c r="E348" s="4" t="s">
        <v>6472</v>
      </c>
      <c r="F348" s="3" t="s">
        <v>5532</v>
      </c>
      <c r="G348" s="7" t="s">
        <v>6476</v>
      </c>
      <c r="H348" s="3" t="s">
        <v>5825</v>
      </c>
      <c r="I348" s="3" t="s">
        <v>5826</v>
      </c>
      <c r="J348" s="3" t="s">
        <v>5536</v>
      </c>
      <c r="K348" s="3" t="s">
        <v>5594</v>
      </c>
      <c r="L348" s="8" t="str">
        <f t="shared" si="2"/>
        <v xml:space="preserve">http://slimages.macys.com/is/image/MCY/10267363 </v>
      </c>
    </row>
    <row r="349" spans="1:12" ht="24.75" x14ac:dyDescent="0.25">
      <c r="A349" s="6" t="s">
        <v>6477</v>
      </c>
      <c r="B349" s="3" t="s">
        <v>6471</v>
      </c>
      <c r="C349" s="4">
        <v>1</v>
      </c>
      <c r="D349" s="5">
        <v>23</v>
      </c>
      <c r="E349" s="4" t="s">
        <v>6472</v>
      </c>
      <c r="F349" s="3" t="s">
        <v>5532</v>
      </c>
      <c r="G349" s="7" t="s">
        <v>5760</v>
      </c>
      <c r="H349" s="3" t="s">
        <v>5825</v>
      </c>
      <c r="I349" s="3" t="s">
        <v>5826</v>
      </c>
      <c r="J349" s="3" t="s">
        <v>5536</v>
      </c>
      <c r="K349" s="3" t="s">
        <v>5594</v>
      </c>
      <c r="L349" s="8" t="str">
        <f t="shared" si="2"/>
        <v xml:space="preserve">http://slimages.macys.com/is/image/MCY/10267363 </v>
      </c>
    </row>
    <row r="350" spans="1:12" ht="24.75" x14ac:dyDescent="0.25">
      <c r="A350" s="6" t="s">
        <v>6478</v>
      </c>
      <c r="B350" s="3" t="s">
        <v>6471</v>
      </c>
      <c r="C350" s="4">
        <v>1</v>
      </c>
      <c r="D350" s="5">
        <v>23</v>
      </c>
      <c r="E350" s="4" t="s">
        <v>6472</v>
      </c>
      <c r="F350" s="3" t="s">
        <v>5532</v>
      </c>
      <c r="G350" s="7" t="s">
        <v>5777</v>
      </c>
      <c r="H350" s="3" t="s">
        <v>5825</v>
      </c>
      <c r="I350" s="3" t="s">
        <v>5826</v>
      </c>
      <c r="J350" s="3" t="s">
        <v>5536</v>
      </c>
      <c r="K350" s="3" t="s">
        <v>5594</v>
      </c>
      <c r="L350" s="8" t="str">
        <f t="shared" si="2"/>
        <v xml:space="preserve">http://slimages.macys.com/is/image/MCY/10267363 </v>
      </c>
    </row>
    <row r="351" spans="1:12" ht="24.75" x14ac:dyDescent="0.25">
      <c r="A351" s="6" t="s">
        <v>6479</v>
      </c>
      <c r="B351" s="3" t="s">
        <v>6465</v>
      </c>
      <c r="C351" s="4">
        <v>2</v>
      </c>
      <c r="D351" s="5">
        <v>46</v>
      </c>
      <c r="E351" s="4" t="s">
        <v>6466</v>
      </c>
      <c r="F351" s="3" t="s">
        <v>5552</v>
      </c>
      <c r="G351" s="7" t="s">
        <v>5779</v>
      </c>
      <c r="H351" s="3" t="s">
        <v>5825</v>
      </c>
      <c r="I351" s="3" t="s">
        <v>5826</v>
      </c>
      <c r="J351" s="3" t="s">
        <v>5536</v>
      </c>
      <c r="K351" s="3" t="s">
        <v>5594</v>
      </c>
      <c r="L351" s="8" t="str">
        <f t="shared" si="2"/>
        <v xml:space="preserve">http://slimages.macys.com/is/image/MCY/10267363 </v>
      </c>
    </row>
    <row r="352" spans="1:12" ht="24.75" x14ac:dyDescent="0.25">
      <c r="A352" s="6" t="s">
        <v>6480</v>
      </c>
      <c r="B352" s="3" t="s">
        <v>6471</v>
      </c>
      <c r="C352" s="4">
        <v>2</v>
      </c>
      <c r="D352" s="5">
        <v>46</v>
      </c>
      <c r="E352" s="4" t="s">
        <v>6472</v>
      </c>
      <c r="F352" s="3" t="s">
        <v>5532</v>
      </c>
      <c r="G352" s="7" t="s">
        <v>5762</v>
      </c>
      <c r="H352" s="3" t="s">
        <v>5825</v>
      </c>
      <c r="I352" s="3" t="s">
        <v>5826</v>
      </c>
      <c r="J352" s="3" t="s">
        <v>5536</v>
      </c>
      <c r="K352" s="3" t="s">
        <v>5594</v>
      </c>
      <c r="L352" s="8" t="str">
        <f t="shared" si="2"/>
        <v xml:space="preserve">http://slimages.macys.com/is/image/MCY/10267363 </v>
      </c>
    </row>
    <row r="353" spans="1:12" x14ac:dyDescent="0.25">
      <c r="A353" s="6" t="s">
        <v>6481</v>
      </c>
      <c r="B353" s="3" t="s">
        <v>6482</v>
      </c>
      <c r="C353" s="4">
        <v>1</v>
      </c>
      <c r="D353" s="5">
        <v>39.99</v>
      </c>
      <c r="E353" s="4" t="s">
        <v>6483</v>
      </c>
      <c r="F353" s="3" t="s">
        <v>5532</v>
      </c>
      <c r="G353" s="7" t="s">
        <v>5562</v>
      </c>
      <c r="H353" s="3" t="s">
        <v>5978</v>
      </c>
      <c r="I353" s="3" t="s">
        <v>5979</v>
      </c>
      <c r="J353" s="3" t="s">
        <v>5536</v>
      </c>
      <c r="K353" s="3" t="s">
        <v>5594</v>
      </c>
      <c r="L353" s="8" t="str">
        <f>HYPERLINK("http://slimages.macys.com/is/image/MCY/11132001 ")</f>
        <v xml:space="preserve">http://slimages.macys.com/is/image/MCY/11132001 </v>
      </c>
    </row>
    <row r="354" spans="1:12" x14ac:dyDescent="0.25">
      <c r="A354" s="6" t="s">
        <v>6484</v>
      </c>
      <c r="B354" s="3" t="s">
        <v>6485</v>
      </c>
      <c r="C354" s="4">
        <v>1</v>
      </c>
      <c r="D354" s="5">
        <v>39.99</v>
      </c>
      <c r="E354" s="4" t="s">
        <v>6486</v>
      </c>
      <c r="F354" s="3" t="s">
        <v>5820</v>
      </c>
      <c r="G354" s="7" t="s">
        <v>5598</v>
      </c>
      <c r="H354" s="3" t="s">
        <v>6003</v>
      </c>
      <c r="I354" s="3" t="s">
        <v>6004</v>
      </c>
      <c r="J354" s="3" t="s">
        <v>5536</v>
      </c>
      <c r="K354" s="3" t="s">
        <v>6487</v>
      </c>
      <c r="L354" s="8" t="str">
        <f>HYPERLINK("http://slimages.macys.com/is/image/MCY/14309740 ")</f>
        <v xml:space="preserve">http://slimages.macys.com/is/image/MCY/14309740 </v>
      </c>
    </row>
    <row r="355" spans="1:12" ht="24.75" x14ac:dyDescent="0.25">
      <c r="A355" s="6" t="s">
        <v>6488</v>
      </c>
      <c r="B355" s="3" t="s">
        <v>6489</v>
      </c>
      <c r="C355" s="4">
        <v>1</v>
      </c>
      <c r="D355" s="5">
        <v>40</v>
      </c>
      <c r="E355" s="4" t="s">
        <v>6490</v>
      </c>
      <c r="F355" s="3" t="s">
        <v>5540</v>
      </c>
      <c r="G355" s="7" t="s">
        <v>6491</v>
      </c>
      <c r="H355" s="3" t="s">
        <v>6492</v>
      </c>
      <c r="I355" s="3" t="s">
        <v>6493</v>
      </c>
      <c r="J355" s="3" t="s">
        <v>5536</v>
      </c>
      <c r="K355" s="3" t="s">
        <v>6494</v>
      </c>
      <c r="L355" s="8" t="str">
        <f>HYPERLINK("http://slimages.macys.com/is/image/MCY/15892725 ")</f>
        <v xml:space="preserve">http://slimages.macys.com/is/image/MCY/15892725 </v>
      </c>
    </row>
    <row r="356" spans="1:12" ht="24.75" x14ac:dyDescent="0.25">
      <c r="A356" s="6" t="s">
        <v>6495</v>
      </c>
      <c r="B356" s="3" t="s">
        <v>6489</v>
      </c>
      <c r="C356" s="4">
        <v>1</v>
      </c>
      <c r="D356" s="5">
        <v>40</v>
      </c>
      <c r="E356" s="4" t="s">
        <v>6490</v>
      </c>
      <c r="F356" s="3" t="s">
        <v>6496</v>
      </c>
      <c r="G356" s="7" t="s">
        <v>6491</v>
      </c>
      <c r="H356" s="3" t="s">
        <v>6492</v>
      </c>
      <c r="I356" s="3" t="s">
        <v>6493</v>
      </c>
      <c r="J356" s="3" t="s">
        <v>5536</v>
      </c>
      <c r="K356" s="3" t="s">
        <v>6494</v>
      </c>
      <c r="L356" s="8" t="str">
        <f>HYPERLINK("http://slimages.macys.com/is/image/MCY/15892725 ")</f>
        <v xml:space="preserve">http://slimages.macys.com/is/image/MCY/15892725 </v>
      </c>
    </row>
    <row r="357" spans="1:12" ht="24.75" x14ac:dyDescent="0.25">
      <c r="A357" s="6" t="s">
        <v>6497</v>
      </c>
      <c r="B357" s="3" t="s">
        <v>6498</v>
      </c>
      <c r="C357" s="4">
        <v>1</v>
      </c>
      <c r="D357" s="5">
        <v>40</v>
      </c>
      <c r="E357" s="4" t="s">
        <v>6499</v>
      </c>
      <c r="F357" s="3" t="s">
        <v>5556</v>
      </c>
      <c r="G357" s="7" t="s">
        <v>6500</v>
      </c>
      <c r="H357" s="3" t="s">
        <v>6492</v>
      </c>
      <c r="I357" s="3" t="s">
        <v>6493</v>
      </c>
      <c r="J357" s="3" t="s">
        <v>5536</v>
      </c>
      <c r="K357" s="3" t="s">
        <v>5587</v>
      </c>
      <c r="L357" s="8" t="str">
        <f>HYPERLINK("http://slimages.macys.com/is/image/MCY/13286775 ")</f>
        <v xml:space="preserve">http://slimages.macys.com/is/image/MCY/13286775 </v>
      </c>
    </row>
    <row r="358" spans="1:12" x14ac:dyDescent="0.25">
      <c r="A358" s="6" t="s">
        <v>6501</v>
      </c>
      <c r="B358" s="3" t="s">
        <v>6502</v>
      </c>
      <c r="C358" s="4">
        <v>1</v>
      </c>
      <c r="D358" s="5">
        <v>34.99</v>
      </c>
      <c r="E358" s="4" t="s">
        <v>6503</v>
      </c>
      <c r="F358" s="3" t="s">
        <v>5552</v>
      </c>
      <c r="G358" s="7" t="s">
        <v>5560</v>
      </c>
      <c r="H358" s="3" t="s">
        <v>6003</v>
      </c>
      <c r="I358" s="3" t="s">
        <v>6004</v>
      </c>
      <c r="J358" s="3" t="s">
        <v>5536</v>
      </c>
      <c r="K358" s="3" t="s">
        <v>6021</v>
      </c>
      <c r="L358" s="8" t="str">
        <f>HYPERLINK("http://slimages.macys.com/is/image/MCY/13828326 ")</f>
        <v xml:space="preserve">http://slimages.macys.com/is/image/MCY/13828326 </v>
      </c>
    </row>
    <row r="359" spans="1:12" ht="24.75" x14ac:dyDescent="0.25">
      <c r="A359" s="6" t="s">
        <v>6504</v>
      </c>
      <c r="B359" s="3" t="s">
        <v>6505</v>
      </c>
      <c r="C359" s="4">
        <v>1</v>
      </c>
      <c r="D359" s="5">
        <v>27.99</v>
      </c>
      <c r="E359" s="4" t="s">
        <v>6506</v>
      </c>
      <c r="F359" s="3" t="s">
        <v>5532</v>
      </c>
      <c r="G359" s="7" t="s">
        <v>6252</v>
      </c>
      <c r="H359" s="3" t="s">
        <v>6280</v>
      </c>
      <c r="I359" s="3" t="s">
        <v>6420</v>
      </c>
      <c r="J359" s="3" t="s">
        <v>5536</v>
      </c>
      <c r="K359" s="3" t="s">
        <v>6507</v>
      </c>
      <c r="L359" s="8" t="str">
        <f>HYPERLINK("http://slimages.macys.com/is/image/MCY/15271208 ")</f>
        <v xml:space="preserve">http://slimages.macys.com/is/image/MCY/15271208 </v>
      </c>
    </row>
    <row r="360" spans="1:12" ht="24.75" x14ac:dyDescent="0.25">
      <c r="A360" s="6" t="s">
        <v>6508</v>
      </c>
      <c r="B360" s="3" t="s">
        <v>6509</v>
      </c>
      <c r="C360" s="4">
        <v>1</v>
      </c>
      <c r="D360" s="5">
        <v>27.99</v>
      </c>
      <c r="E360" s="4" t="s">
        <v>6510</v>
      </c>
      <c r="F360" s="3" t="s">
        <v>5634</v>
      </c>
      <c r="G360" s="7" t="s">
        <v>6252</v>
      </c>
      <c r="H360" s="3" t="s">
        <v>6280</v>
      </c>
      <c r="I360" s="3" t="s">
        <v>6420</v>
      </c>
      <c r="J360" s="3" t="s">
        <v>5536</v>
      </c>
      <c r="K360" s="3" t="s">
        <v>5727</v>
      </c>
      <c r="L360" s="8" t="str">
        <f>HYPERLINK("http://slimages.macys.com/is/image/MCY/15882247 ")</f>
        <v xml:space="preserve">http://slimages.macys.com/is/image/MCY/15882247 </v>
      </c>
    </row>
    <row r="361" spans="1:12" ht="24.75" x14ac:dyDescent="0.25">
      <c r="A361" s="6" t="s">
        <v>6511</v>
      </c>
      <c r="B361" s="3" t="s">
        <v>6263</v>
      </c>
      <c r="C361" s="4">
        <v>1</v>
      </c>
      <c r="D361" s="5">
        <v>25.5</v>
      </c>
      <c r="E361" s="4" t="s">
        <v>6264</v>
      </c>
      <c r="F361" s="3" t="s">
        <v>5578</v>
      </c>
      <c r="G361" s="7"/>
      <c r="H361" s="3" t="s">
        <v>5825</v>
      </c>
      <c r="I361" s="3" t="s">
        <v>6265</v>
      </c>
      <c r="J361" s="3" t="s">
        <v>5536</v>
      </c>
      <c r="K361" s="3" t="s">
        <v>6266</v>
      </c>
      <c r="L361" s="8" t="str">
        <f>HYPERLINK("http://slimages.macys.com/is/image/MCY/11518029 ")</f>
        <v xml:space="preserve">http://slimages.macys.com/is/image/MCY/11518029 </v>
      </c>
    </row>
    <row r="362" spans="1:12" ht="24.75" x14ac:dyDescent="0.25">
      <c r="A362" s="6" t="s">
        <v>6512</v>
      </c>
      <c r="B362" s="3" t="s">
        <v>6513</v>
      </c>
      <c r="C362" s="4">
        <v>2</v>
      </c>
      <c r="D362" s="5">
        <v>40</v>
      </c>
      <c r="E362" s="4" t="s">
        <v>6514</v>
      </c>
      <c r="F362" s="3" t="s">
        <v>5532</v>
      </c>
      <c r="G362" s="7" t="s">
        <v>5898</v>
      </c>
      <c r="H362" s="3" t="s">
        <v>6515</v>
      </c>
      <c r="I362" s="3" t="s">
        <v>6004</v>
      </c>
      <c r="J362" s="3" t="s">
        <v>5536</v>
      </c>
      <c r="K362" s="3" t="s">
        <v>5984</v>
      </c>
      <c r="L362" s="8" t="str">
        <f>HYPERLINK("http://slimages.macys.com/is/image/MCY/14573859 ")</f>
        <v xml:space="preserve">http://slimages.macys.com/is/image/MCY/14573859 </v>
      </c>
    </row>
    <row r="363" spans="1:12" x14ac:dyDescent="0.25">
      <c r="A363" s="6" t="s">
        <v>6516</v>
      </c>
      <c r="B363" s="3" t="s">
        <v>6517</v>
      </c>
      <c r="C363" s="4">
        <v>1</v>
      </c>
      <c r="D363" s="5">
        <v>34.99</v>
      </c>
      <c r="E363" s="4" t="s">
        <v>6518</v>
      </c>
      <c r="F363" s="3" t="s">
        <v>5783</v>
      </c>
      <c r="G363" s="7" t="s">
        <v>5562</v>
      </c>
      <c r="H363" s="3" t="s">
        <v>6003</v>
      </c>
      <c r="I363" s="3" t="s">
        <v>6004</v>
      </c>
      <c r="J363" s="3" t="s">
        <v>5536</v>
      </c>
      <c r="K363" s="3" t="s">
        <v>6021</v>
      </c>
      <c r="L363" s="8" t="str">
        <f>HYPERLINK("http://slimages.macys.com/is/image/MCY/15384383 ")</f>
        <v xml:space="preserve">http://slimages.macys.com/is/image/MCY/15384383 </v>
      </c>
    </row>
    <row r="364" spans="1:12" x14ac:dyDescent="0.25">
      <c r="A364" s="6" t="s">
        <v>6519</v>
      </c>
      <c r="B364" s="3" t="s">
        <v>6517</v>
      </c>
      <c r="C364" s="4">
        <v>1</v>
      </c>
      <c r="D364" s="5">
        <v>34.99</v>
      </c>
      <c r="E364" s="4" t="s">
        <v>6518</v>
      </c>
      <c r="F364" s="3" t="s">
        <v>5783</v>
      </c>
      <c r="G364" s="7" t="s">
        <v>5596</v>
      </c>
      <c r="H364" s="3" t="s">
        <v>6003</v>
      </c>
      <c r="I364" s="3" t="s">
        <v>6004</v>
      </c>
      <c r="J364" s="3" t="s">
        <v>5536</v>
      </c>
      <c r="K364" s="3" t="s">
        <v>6021</v>
      </c>
      <c r="L364" s="8" t="str">
        <f>HYPERLINK("http://slimages.macys.com/is/image/MCY/15384383 ")</f>
        <v xml:space="preserve">http://slimages.macys.com/is/image/MCY/15384383 </v>
      </c>
    </row>
    <row r="365" spans="1:12" ht="24.75" x14ac:dyDescent="0.25">
      <c r="A365" s="6" t="s">
        <v>6520</v>
      </c>
      <c r="B365" s="3" t="s">
        <v>6521</v>
      </c>
      <c r="C365" s="4">
        <v>1</v>
      </c>
      <c r="D365" s="5">
        <v>32.99</v>
      </c>
      <c r="E365" s="4">
        <v>100002133</v>
      </c>
      <c r="F365" s="3" t="s">
        <v>6075</v>
      </c>
      <c r="G365" s="7" t="s">
        <v>6491</v>
      </c>
      <c r="H365" s="3" t="s">
        <v>6522</v>
      </c>
      <c r="I365" s="3" t="s">
        <v>6523</v>
      </c>
      <c r="J365" s="3" t="s">
        <v>5536</v>
      </c>
      <c r="K365" s="3" t="s">
        <v>5727</v>
      </c>
      <c r="L365" s="8" t="str">
        <f>HYPERLINK("http://slimages.macys.com/is/image/MCY/11399941 ")</f>
        <v xml:space="preserve">http://slimages.macys.com/is/image/MCY/11399941 </v>
      </c>
    </row>
    <row r="366" spans="1:12" x14ac:dyDescent="0.25">
      <c r="A366" s="6" t="s">
        <v>6524</v>
      </c>
      <c r="B366" s="3" t="s">
        <v>6525</v>
      </c>
      <c r="C366" s="4">
        <v>1</v>
      </c>
      <c r="D366" s="5">
        <v>34.99</v>
      </c>
      <c r="E366" s="4" t="s">
        <v>6526</v>
      </c>
      <c r="F366" s="3" t="s">
        <v>5661</v>
      </c>
      <c r="G366" s="7" t="s">
        <v>5533</v>
      </c>
      <c r="H366" s="3" t="s">
        <v>6003</v>
      </c>
      <c r="I366" s="3" t="s">
        <v>6004</v>
      </c>
      <c r="J366" s="3" t="s">
        <v>5536</v>
      </c>
      <c r="K366" s="3" t="s">
        <v>6021</v>
      </c>
      <c r="L366" s="8" t="str">
        <f>HYPERLINK("http://slimages.macys.com/is/image/MCY/13828326 ")</f>
        <v xml:space="preserve">http://slimages.macys.com/is/image/MCY/13828326 </v>
      </c>
    </row>
    <row r="367" spans="1:12" x14ac:dyDescent="0.25">
      <c r="A367" s="6" t="s">
        <v>6527</v>
      </c>
      <c r="B367" s="3" t="s">
        <v>6528</v>
      </c>
      <c r="C367" s="4">
        <v>1</v>
      </c>
      <c r="D367" s="5">
        <v>34.99</v>
      </c>
      <c r="E367" s="4" t="s">
        <v>6529</v>
      </c>
      <c r="F367" s="3" t="s">
        <v>5661</v>
      </c>
      <c r="G367" s="7" t="s">
        <v>5562</v>
      </c>
      <c r="H367" s="3" t="s">
        <v>6003</v>
      </c>
      <c r="I367" s="3" t="s">
        <v>6004</v>
      </c>
      <c r="J367" s="3" t="s">
        <v>5536</v>
      </c>
      <c r="K367" s="3" t="s">
        <v>6021</v>
      </c>
      <c r="L367" s="8" t="str">
        <f>HYPERLINK("http://slimages.macys.com/is/image/MCY/13828317 ")</f>
        <v xml:space="preserve">http://slimages.macys.com/is/image/MCY/13828317 </v>
      </c>
    </row>
    <row r="368" spans="1:12" ht="24.75" x14ac:dyDescent="0.25">
      <c r="A368" s="6" t="s">
        <v>6530</v>
      </c>
      <c r="B368" s="3" t="s">
        <v>6531</v>
      </c>
      <c r="C368" s="4">
        <v>1</v>
      </c>
      <c r="D368" s="5">
        <v>22.25</v>
      </c>
      <c r="E368" s="4" t="s">
        <v>6532</v>
      </c>
      <c r="F368" s="3" t="s">
        <v>5661</v>
      </c>
      <c r="G368" s="7" t="s">
        <v>5898</v>
      </c>
      <c r="H368" s="3" t="s">
        <v>6280</v>
      </c>
      <c r="I368" s="3" t="s">
        <v>6533</v>
      </c>
      <c r="J368" s="3" t="s">
        <v>5536</v>
      </c>
      <c r="K368" s="3" t="s">
        <v>6295</v>
      </c>
      <c r="L368" s="8" t="str">
        <f>HYPERLINK("http://slimages.macys.com/is/image/MCY/12236968 ")</f>
        <v xml:space="preserve">http://slimages.macys.com/is/image/MCY/12236968 </v>
      </c>
    </row>
    <row r="369" spans="1:12" ht="24.75" x14ac:dyDescent="0.25">
      <c r="A369" s="6" t="s">
        <v>6534</v>
      </c>
      <c r="B369" s="3" t="s">
        <v>6535</v>
      </c>
      <c r="C369" s="4">
        <v>1</v>
      </c>
      <c r="D369" s="5">
        <v>22.25</v>
      </c>
      <c r="E369" s="4" t="s">
        <v>6536</v>
      </c>
      <c r="F369" s="3" t="s">
        <v>5661</v>
      </c>
      <c r="G369" s="7" t="s">
        <v>5898</v>
      </c>
      <c r="H369" s="3" t="s">
        <v>6280</v>
      </c>
      <c r="I369" s="3" t="s">
        <v>6533</v>
      </c>
      <c r="J369" s="3" t="s">
        <v>5536</v>
      </c>
      <c r="K369" s="3" t="s">
        <v>6537</v>
      </c>
      <c r="L369" s="8" t="str">
        <f>HYPERLINK("http://slimages.macys.com/is/image/MCY/9113313 ")</f>
        <v xml:space="preserve">http://slimages.macys.com/is/image/MCY/9113313 </v>
      </c>
    </row>
    <row r="370" spans="1:12" ht="24.75" x14ac:dyDescent="0.25">
      <c r="A370" s="6" t="s">
        <v>6538</v>
      </c>
      <c r="B370" s="3" t="s">
        <v>6539</v>
      </c>
      <c r="C370" s="4">
        <v>2</v>
      </c>
      <c r="D370" s="5">
        <v>44.5</v>
      </c>
      <c r="E370" s="4" t="s">
        <v>6540</v>
      </c>
      <c r="F370" s="3" t="s">
        <v>5661</v>
      </c>
      <c r="G370" s="7" t="s">
        <v>5898</v>
      </c>
      <c r="H370" s="3" t="s">
        <v>6280</v>
      </c>
      <c r="I370" s="3" t="s">
        <v>6533</v>
      </c>
      <c r="J370" s="3" t="s">
        <v>5536</v>
      </c>
      <c r="K370" s="3" t="s">
        <v>6537</v>
      </c>
      <c r="L370" s="8" t="str">
        <f>HYPERLINK("http://slimages.macys.com/is/image/MCY/9108274 ")</f>
        <v xml:space="preserve">http://slimages.macys.com/is/image/MCY/9108274 </v>
      </c>
    </row>
    <row r="371" spans="1:12" ht="24.75" x14ac:dyDescent="0.25">
      <c r="A371" s="6" t="s">
        <v>6541</v>
      </c>
      <c r="B371" s="3" t="s">
        <v>6273</v>
      </c>
      <c r="C371" s="4">
        <v>1</v>
      </c>
      <c r="D371" s="5">
        <v>25</v>
      </c>
      <c r="E371" s="4" t="s">
        <v>6274</v>
      </c>
      <c r="F371" s="3" t="s">
        <v>5925</v>
      </c>
      <c r="G371" s="7"/>
      <c r="H371" s="3" t="s">
        <v>5825</v>
      </c>
      <c r="I371" s="3" t="s">
        <v>6265</v>
      </c>
      <c r="J371" s="3" t="s">
        <v>5536</v>
      </c>
      <c r="K371" s="3" t="s">
        <v>6542</v>
      </c>
      <c r="L371" s="8" t="str">
        <f>HYPERLINK("http://slimages.macys.com/is/image/MCY/10215377 ")</f>
        <v xml:space="preserve">http://slimages.macys.com/is/image/MCY/10215377 </v>
      </c>
    </row>
    <row r="372" spans="1:12" x14ac:dyDescent="0.25">
      <c r="A372" s="6" t="s">
        <v>6543</v>
      </c>
      <c r="B372" s="3" t="s">
        <v>6544</v>
      </c>
      <c r="C372" s="4">
        <v>1</v>
      </c>
      <c r="D372" s="5">
        <v>29.5</v>
      </c>
      <c r="E372" s="4">
        <v>100086684</v>
      </c>
      <c r="F372" s="3" t="s">
        <v>5540</v>
      </c>
      <c r="G372" s="7" t="s">
        <v>5562</v>
      </c>
      <c r="H372" s="3" t="s">
        <v>5585</v>
      </c>
      <c r="I372" s="3" t="s">
        <v>5734</v>
      </c>
      <c r="J372" s="3" t="s">
        <v>5536</v>
      </c>
      <c r="K372" s="3" t="s">
        <v>5574</v>
      </c>
      <c r="L372" s="8" t="str">
        <f>HYPERLINK("http://slimages.macys.com/is/image/MCY/15889065 ")</f>
        <v xml:space="preserve">http://slimages.macys.com/is/image/MCY/15889065 </v>
      </c>
    </row>
    <row r="373" spans="1:12" ht="24.75" x14ac:dyDescent="0.25">
      <c r="A373" s="6" t="s">
        <v>6545</v>
      </c>
      <c r="B373" s="3" t="s">
        <v>6546</v>
      </c>
      <c r="C373" s="4">
        <v>1</v>
      </c>
      <c r="D373" s="5">
        <v>26</v>
      </c>
      <c r="E373" s="4" t="s">
        <v>6547</v>
      </c>
      <c r="F373" s="3" t="s">
        <v>5540</v>
      </c>
      <c r="G373" s="7" t="s">
        <v>5560</v>
      </c>
      <c r="H373" s="3" t="s">
        <v>6492</v>
      </c>
      <c r="I373" s="3" t="s">
        <v>6548</v>
      </c>
      <c r="J373" s="3" t="s">
        <v>5536</v>
      </c>
      <c r="K373" s="3" t="s">
        <v>5549</v>
      </c>
      <c r="L373" s="8" t="str">
        <f>HYPERLINK("http://slimages.macys.com/is/image/MCY/15360514 ")</f>
        <v xml:space="preserve">http://slimages.macys.com/is/image/MCY/15360514 </v>
      </c>
    </row>
    <row r="374" spans="1:12" x14ac:dyDescent="0.25">
      <c r="A374" s="6" t="s">
        <v>6549</v>
      </c>
      <c r="B374" s="3" t="s">
        <v>6550</v>
      </c>
      <c r="C374" s="4">
        <v>1</v>
      </c>
      <c r="D374" s="5">
        <v>12.99</v>
      </c>
      <c r="E374" s="4" t="s">
        <v>6551</v>
      </c>
      <c r="F374" s="3" t="s">
        <v>5552</v>
      </c>
      <c r="G374" s="7" t="s">
        <v>5533</v>
      </c>
      <c r="H374" s="3" t="s">
        <v>5606</v>
      </c>
      <c r="I374" s="3" t="s">
        <v>5914</v>
      </c>
      <c r="J374" s="3" t="s">
        <v>5536</v>
      </c>
      <c r="K374" s="3" t="s">
        <v>5549</v>
      </c>
      <c r="L374" s="8" t="str">
        <f>HYPERLINK("http://slimages.macys.com/is/image/MCY/15684094 ")</f>
        <v xml:space="preserve">http://slimages.macys.com/is/image/MCY/15684094 </v>
      </c>
    </row>
    <row r="375" spans="1:12" x14ac:dyDescent="0.25">
      <c r="A375" s="6" t="s">
        <v>6552</v>
      </c>
      <c r="B375" s="3" t="s">
        <v>6550</v>
      </c>
      <c r="C375" s="4">
        <v>1</v>
      </c>
      <c r="D375" s="5">
        <v>12.99</v>
      </c>
      <c r="E375" s="4" t="s">
        <v>6551</v>
      </c>
      <c r="F375" s="3" t="s">
        <v>5552</v>
      </c>
      <c r="G375" s="7" t="s">
        <v>5560</v>
      </c>
      <c r="H375" s="3" t="s">
        <v>5606</v>
      </c>
      <c r="I375" s="3" t="s">
        <v>5914</v>
      </c>
      <c r="J375" s="3" t="s">
        <v>5536</v>
      </c>
      <c r="K375" s="3" t="s">
        <v>5549</v>
      </c>
      <c r="L375" s="8" t="str">
        <f>HYPERLINK("http://slimages.macys.com/is/image/MCY/15684094 ")</f>
        <v xml:space="preserve">http://slimages.macys.com/is/image/MCY/15684094 </v>
      </c>
    </row>
    <row r="376" spans="1:12" ht="24.75" x14ac:dyDescent="0.25">
      <c r="A376" s="6" t="s">
        <v>6553</v>
      </c>
      <c r="B376" s="3" t="s">
        <v>6554</v>
      </c>
      <c r="C376" s="4">
        <v>1</v>
      </c>
      <c r="D376" s="5">
        <v>23</v>
      </c>
      <c r="E376" s="4" t="s">
        <v>6555</v>
      </c>
      <c r="F376" s="3" t="s">
        <v>5661</v>
      </c>
      <c r="G376" s="7" t="s">
        <v>5777</v>
      </c>
      <c r="H376" s="3" t="s">
        <v>5825</v>
      </c>
      <c r="I376" s="3" t="s">
        <v>5826</v>
      </c>
      <c r="J376" s="3" t="s">
        <v>5536</v>
      </c>
      <c r="K376" s="3" t="s">
        <v>5553</v>
      </c>
      <c r="L376" s="8" t="str">
        <f>HYPERLINK("http://slimages.macys.com/is/image/MCY/9748928 ")</f>
        <v xml:space="preserve">http://slimages.macys.com/is/image/MCY/9748928 </v>
      </c>
    </row>
    <row r="377" spans="1:12" ht="24.75" x14ac:dyDescent="0.25">
      <c r="A377" s="6" t="s">
        <v>6556</v>
      </c>
      <c r="B377" s="3" t="s">
        <v>6554</v>
      </c>
      <c r="C377" s="4">
        <v>3</v>
      </c>
      <c r="D377" s="5">
        <v>69</v>
      </c>
      <c r="E377" s="4" t="s">
        <v>6555</v>
      </c>
      <c r="F377" s="3" t="s">
        <v>5661</v>
      </c>
      <c r="G377" s="7" t="s">
        <v>5762</v>
      </c>
      <c r="H377" s="3" t="s">
        <v>5825</v>
      </c>
      <c r="I377" s="3" t="s">
        <v>5826</v>
      </c>
      <c r="J377" s="3" t="s">
        <v>5536</v>
      </c>
      <c r="K377" s="3" t="s">
        <v>5553</v>
      </c>
      <c r="L377" s="8" t="str">
        <f>HYPERLINK("http://slimages.macys.com/is/image/MCY/9748928 ")</f>
        <v xml:space="preserve">http://slimages.macys.com/is/image/MCY/9748928 </v>
      </c>
    </row>
    <row r="378" spans="1:12" ht="24.75" x14ac:dyDescent="0.25">
      <c r="A378" s="6" t="s">
        <v>6557</v>
      </c>
      <c r="B378" s="3" t="s">
        <v>6558</v>
      </c>
      <c r="C378" s="4">
        <v>1</v>
      </c>
      <c r="D378" s="5">
        <v>34.99</v>
      </c>
      <c r="E378" s="4" t="s">
        <v>6559</v>
      </c>
      <c r="F378" s="3" t="s">
        <v>6075</v>
      </c>
      <c r="G378" s="7" t="s">
        <v>5598</v>
      </c>
      <c r="H378" s="3" t="s">
        <v>5978</v>
      </c>
      <c r="I378" s="3" t="s">
        <v>5979</v>
      </c>
      <c r="J378" s="3" t="s">
        <v>5536</v>
      </c>
      <c r="K378" s="3" t="s">
        <v>5864</v>
      </c>
      <c r="L378" s="8" t="str">
        <f>HYPERLINK("http://slimages.macys.com/is/image/MCY/15250545 ")</f>
        <v xml:space="preserve">http://slimages.macys.com/is/image/MCY/15250545 </v>
      </c>
    </row>
    <row r="379" spans="1:12" x14ac:dyDescent="0.25">
      <c r="A379" s="6" t="s">
        <v>6560</v>
      </c>
      <c r="B379" s="3" t="s">
        <v>6561</v>
      </c>
      <c r="C379" s="4">
        <v>1</v>
      </c>
      <c r="D379" s="5">
        <v>17.989999999999998</v>
      </c>
      <c r="E379" s="4" t="s">
        <v>6562</v>
      </c>
      <c r="F379" s="3" t="s">
        <v>5540</v>
      </c>
      <c r="G379" s="7" t="s">
        <v>5598</v>
      </c>
      <c r="H379" s="3" t="s">
        <v>5606</v>
      </c>
      <c r="I379" s="3" t="s">
        <v>5914</v>
      </c>
      <c r="J379" s="3" t="s">
        <v>5536</v>
      </c>
      <c r="K379" s="3" t="s">
        <v>5549</v>
      </c>
      <c r="L379" s="8" t="str">
        <f>HYPERLINK("http://slimages.macys.com/is/image/MCY/14907434 ")</f>
        <v xml:space="preserve">http://slimages.macys.com/is/image/MCY/14907434 </v>
      </c>
    </row>
    <row r="380" spans="1:12" x14ac:dyDescent="0.25">
      <c r="A380" s="6" t="s">
        <v>6563</v>
      </c>
      <c r="B380" s="3" t="s">
        <v>6561</v>
      </c>
      <c r="C380" s="4">
        <v>1</v>
      </c>
      <c r="D380" s="5">
        <v>17.989999999999998</v>
      </c>
      <c r="E380" s="4" t="s">
        <v>6562</v>
      </c>
      <c r="F380" s="3" t="s">
        <v>5540</v>
      </c>
      <c r="G380" s="7" t="s">
        <v>5560</v>
      </c>
      <c r="H380" s="3" t="s">
        <v>5606</v>
      </c>
      <c r="I380" s="3" t="s">
        <v>5914</v>
      </c>
      <c r="J380" s="3" t="s">
        <v>5536</v>
      </c>
      <c r="K380" s="3" t="s">
        <v>5549</v>
      </c>
      <c r="L380" s="8" t="str">
        <f>HYPERLINK("http://slimages.macys.com/is/image/MCY/14907434 ")</f>
        <v xml:space="preserve">http://slimages.macys.com/is/image/MCY/14907434 </v>
      </c>
    </row>
    <row r="381" spans="1:12" x14ac:dyDescent="0.25">
      <c r="A381" s="6" t="s">
        <v>6564</v>
      </c>
      <c r="B381" s="3" t="s">
        <v>6561</v>
      </c>
      <c r="C381" s="4">
        <v>1</v>
      </c>
      <c r="D381" s="5">
        <v>17.989999999999998</v>
      </c>
      <c r="E381" s="4" t="s">
        <v>6562</v>
      </c>
      <c r="F381" s="3" t="s">
        <v>5540</v>
      </c>
      <c r="G381" s="7" t="s">
        <v>5562</v>
      </c>
      <c r="H381" s="3" t="s">
        <v>5606</v>
      </c>
      <c r="I381" s="3" t="s">
        <v>5914</v>
      </c>
      <c r="J381" s="3" t="s">
        <v>5536</v>
      </c>
      <c r="K381" s="3" t="s">
        <v>5549</v>
      </c>
      <c r="L381" s="8" t="str">
        <f>HYPERLINK("http://slimages.macys.com/is/image/MCY/14907434 ")</f>
        <v xml:space="preserve">http://slimages.macys.com/is/image/MCY/14907434 </v>
      </c>
    </row>
    <row r="382" spans="1:12" ht="24.75" x14ac:dyDescent="0.25">
      <c r="A382" s="6" t="s">
        <v>6565</v>
      </c>
      <c r="B382" s="3" t="s">
        <v>6566</v>
      </c>
      <c r="C382" s="4">
        <v>2</v>
      </c>
      <c r="D382" s="5">
        <v>46</v>
      </c>
      <c r="E382" s="4">
        <v>100019476</v>
      </c>
      <c r="F382" s="3" t="s">
        <v>5783</v>
      </c>
      <c r="G382" s="7"/>
      <c r="H382" s="3" t="s">
        <v>5825</v>
      </c>
      <c r="I382" s="3" t="s">
        <v>5826</v>
      </c>
      <c r="J382" s="3" t="s">
        <v>5536</v>
      </c>
      <c r="K382" s="3" t="s">
        <v>5594</v>
      </c>
      <c r="L382" s="8" t="str">
        <f>HYPERLINK("http://slimages.macys.com/is/image/MCY/9512821 ")</f>
        <v xml:space="preserve">http://slimages.macys.com/is/image/MCY/9512821 </v>
      </c>
    </row>
    <row r="383" spans="1:12" ht="24.75" x14ac:dyDescent="0.25">
      <c r="A383" s="6" t="s">
        <v>6567</v>
      </c>
      <c r="B383" s="3" t="s">
        <v>6568</v>
      </c>
      <c r="C383" s="4">
        <v>1</v>
      </c>
      <c r="D383" s="5">
        <v>23</v>
      </c>
      <c r="E383" s="4">
        <v>100019472</v>
      </c>
      <c r="F383" s="3" t="s">
        <v>5783</v>
      </c>
      <c r="G383" s="7" t="s">
        <v>5835</v>
      </c>
      <c r="H383" s="3" t="s">
        <v>5825</v>
      </c>
      <c r="I383" s="3" t="s">
        <v>5826</v>
      </c>
      <c r="J383" s="3" t="s">
        <v>5536</v>
      </c>
      <c r="K383" s="3" t="s">
        <v>5594</v>
      </c>
      <c r="L383" s="8" t="str">
        <f>HYPERLINK("http://slimages.macys.com/is/image/MCY/9470798 ")</f>
        <v xml:space="preserve">http://slimages.macys.com/is/image/MCY/9470798 </v>
      </c>
    </row>
    <row r="384" spans="1:12" ht="24.75" x14ac:dyDescent="0.25">
      <c r="A384" s="6" t="s">
        <v>6569</v>
      </c>
      <c r="B384" s="3" t="s">
        <v>6566</v>
      </c>
      <c r="C384" s="4">
        <v>1</v>
      </c>
      <c r="D384" s="5">
        <v>23</v>
      </c>
      <c r="E384" s="4">
        <v>100019476</v>
      </c>
      <c r="F384" s="3" t="s">
        <v>5783</v>
      </c>
      <c r="G384" s="7" t="s">
        <v>6025</v>
      </c>
      <c r="H384" s="3" t="s">
        <v>5825</v>
      </c>
      <c r="I384" s="3" t="s">
        <v>5826</v>
      </c>
      <c r="J384" s="3" t="s">
        <v>5536</v>
      </c>
      <c r="K384" s="3" t="s">
        <v>5594</v>
      </c>
      <c r="L384" s="8" t="str">
        <f>HYPERLINK("http://slimages.macys.com/is/image/MCY/9512821 ")</f>
        <v xml:space="preserve">http://slimages.macys.com/is/image/MCY/9512821 </v>
      </c>
    </row>
    <row r="385" spans="1:12" ht="24.75" x14ac:dyDescent="0.25">
      <c r="A385" s="6" t="s">
        <v>6570</v>
      </c>
      <c r="B385" s="3" t="s">
        <v>6568</v>
      </c>
      <c r="C385" s="4">
        <v>1</v>
      </c>
      <c r="D385" s="5">
        <v>23</v>
      </c>
      <c r="E385" s="4">
        <v>100019472</v>
      </c>
      <c r="F385" s="3" t="s">
        <v>5783</v>
      </c>
      <c r="G385" s="7" t="s">
        <v>6025</v>
      </c>
      <c r="H385" s="3" t="s">
        <v>5825</v>
      </c>
      <c r="I385" s="3" t="s">
        <v>5826</v>
      </c>
      <c r="J385" s="3" t="s">
        <v>5536</v>
      </c>
      <c r="K385" s="3" t="s">
        <v>5594</v>
      </c>
      <c r="L385" s="8" t="str">
        <f>HYPERLINK("http://slimages.macys.com/is/image/MCY/9470798 ")</f>
        <v xml:space="preserve">http://slimages.macys.com/is/image/MCY/9470798 </v>
      </c>
    </row>
    <row r="386" spans="1:12" x14ac:dyDescent="0.25">
      <c r="A386" s="6" t="s">
        <v>6571</v>
      </c>
      <c r="B386" s="3" t="s">
        <v>6572</v>
      </c>
      <c r="C386" s="4">
        <v>1</v>
      </c>
      <c r="D386" s="5">
        <v>19.989999999999998</v>
      </c>
      <c r="E386" s="4" t="s">
        <v>6573</v>
      </c>
      <c r="F386" s="3" t="s">
        <v>5552</v>
      </c>
      <c r="G386" s="7" t="s">
        <v>5596</v>
      </c>
      <c r="H386" s="3" t="s">
        <v>6003</v>
      </c>
      <c r="I386" s="3" t="s">
        <v>6004</v>
      </c>
      <c r="J386" s="3" t="s">
        <v>5536</v>
      </c>
      <c r="K386" s="3" t="s">
        <v>5594</v>
      </c>
      <c r="L386" s="8" t="str">
        <f>HYPERLINK("http://slimages.macys.com/is/image/MCY/14412211 ")</f>
        <v xml:space="preserve">http://slimages.macys.com/is/image/MCY/14412211 </v>
      </c>
    </row>
    <row r="387" spans="1:12" ht="24.75" x14ac:dyDescent="0.25">
      <c r="A387" s="6" t="s">
        <v>6574</v>
      </c>
      <c r="B387" s="3" t="s">
        <v>6575</v>
      </c>
      <c r="C387" s="4">
        <v>2</v>
      </c>
      <c r="D387" s="5">
        <v>46</v>
      </c>
      <c r="E387" s="4" t="s">
        <v>6576</v>
      </c>
      <c r="F387" s="3" t="s">
        <v>5532</v>
      </c>
      <c r="G387" s="7" t="s">
        <v>5768</v>
      </c>
      <c r="H387" s="3" t="s">
        <v>5825</v>
      </c>
      <c r="I387" s="3" t="s">
        <v>5826</v>
      </c>
      <c r="J387" s="3" t="s">
        <v>5536</v>
      </c>
      <c r="K387" s="3" t="s">
        <v>5549</v>
      </c>
      <c r="L387" s="8" t="str">
        <f>HYPERLINK("http://slimages.macys.com/is/image/MCY/14532354 ")</f>
        <v xml:space="preserve">http://slimages.macys.com/is/image/MCY/14532354 </v>
      </c>
    </row>
    <row r="388" spans="1:12" ht="24.75" x14ac:dyDescent="0.25">
      <c r="A388" s="6" t="s">
        <v>6577</v>
      </c>
      <c r="B388" s="3" t="s">
        <v>6575</v>
      </c>
      <c r="C388" s="4">
        <v>1</v>
      </c>
      <c r="D388" s="5">
        <v>23</v>
      </c>
      <c r="E388" s="4" t="s">
        <v>6576</v>
      </c>
      <c r="F388" s="3" t="s">
        <v>5532</v>
      </c>
      <c r="G388" s="7" t="s">
        <v>5779</v>
      </c>
      <c r="H388" s="3" t="s">
        <v>5825</v>
      </c>
      <c r="I388" s="3" t="s">
        <v>5826</v>
      </c>
      <c r="J388" s="3" t="s">
        <v>5536</v>
      </c>
      <c r="K388" s="3" t="s">
        <v>5549</v>
      </c>
      <c r="L388" s="8" t="str">
        <f>HYPERLINK("http://slimages.macys.com/is/image/MCY/14532354 ")</f>
        <v xml:space="preserve">http://slimages.macys.com/is/image/MCY/14532354 </v>
      </c>
    </row>
    <row r="389" spans="1:12" ht="24.75" x14ac:dyDescent="0.25">
      <c r="A389" s="6" t="s">
        <v>6578</v>
      </c>
      <c r="B389" s="3" t="s">
        <v>6575</v>
      </c>
      <c r="C389" s="4">
        <v>1</v>
      </c>
      <c r="D389" s="5">
        <v>23</v>
      </c>
      <c r="E389" s="4" t="s">
        <v>6576</v>
      </c>
      <c r="F389" s="3" t="s">
        <v>5532</v>
      </c>
      <c r="G389" s="7"/>
      <c r="H389" s="3" t="s">
        <v>5825</v>
      </c>
      <c r="I389" s="3" t="s">
        <v>5826</v>
      </c>
      <c r="J389" s="3" t="s">
        <v>5536</v>
      </c>
      <c r="K389" s="3" t="s">
        <v>5549</v>
      </c>
      <c r="L389" s="8" t="str">
        <f>HYPERLINK("http://slimages.macys.com/is/image/MCY/14532354 ")</f>
        <v xml:space="preserve">http://slimages.macys.com/is/image/MCY/14532354 </v>
      </c>
    </row>
    <row r="390" spans="1:12" ht="24.75" x14ac:dyDescent="0.25">
      <c r="A390" s="6" t="s">
        <v>6579</v>
      </c>
      <c r="B390" s="3" t="s">
        <v>6575</v>
      </c>
      <c r="C390" s="4">
        <v>1</v>
      </c>
      <c r="D390" s="5">
        <v>23</v>
      </c>
      <c r="E390" s="4" t="s">
        <v>6576</v>
      </c>
      <c r="F390" s="3" t="s">
        <v>5532</v>
      </c>
      <c r="G390" s="7" t="s">
        <v>5830</v>
      </c>
      <c r="H390" s="3" t="s">
        <v>5825</v>
      </c>
      <c r="I390" s="3" t="s">
        <v>5826</v>
      </c>
      <c r="J390" s="3" t="s">
        <v>5536</v>
      </c>
      <c r="K390" s="3" t="s">
        <v>5549</v>
      </c>
      <c r="L390" s="8" t="str">
        <f>HYPERLINK("http://slimages.macys.com/is/image/MCY/14532354 ")</f>
        <v xml:space="preserve">http://slimages.macys.com/is/image/MCY/14532354 </v>
      </c>
    </row>
    <row r="391" spans="1:12" ht="24.75" x14ac:dyDescent="0.25">
      <c r="A391" s="6" t="s">
        <v>6580</v>
      </c>
      <c r="B391" s="3" t="s">
        <v>6581</v>
      </c>
      <c r="C391" s="4">
        <v>1</v>
      </c>
      <c r="D391" s="5">
        <v>23</v>
      </c>
      <c r="E391" s="4">
        <v>100005324</v>
      </c>
      <c r="F391" s="3" t="s">
        <v>5532</v>
      </c>
      <c r="G391" s="7" t="s">
        <v>5760</v>
      </c>
      <c r="H391" s="3" t="s">
        <v>5825</v>
      </c>
      <c r="I391" s="3" t="s">
        <v>5826</v>
      </c>
      <c r="J391" s="3" t="s">
        <v>5536</v>
      </c>
      <c r="K391" s="3" t="s">
        <v>5594</v>
      </c>
      <c r="L391" s="8" t="str">
        <f>HYPERLINK("http://slimages.macys.com/is/image/MCY/9267398 ")</f>
        <v xml:space="preserve">http://slimages.macys.com/is/image/MCY/9267398 </v>
      </c>
    </row>
    <row r="392" spans="1:12" ht="24.75" x14ac:dyDescent="0.25">
      <c r="A392" s="6" t="s">
        <v>6582</v>
      </c>
      <c r="B392" s="3" t="s">
        <v>6583</v>
      </c>
      <c r="C392" s="4">
        <v>1</v>
      </c>
      <c r="D392" s="5">
        <v>23</v>
      </c>
      <c r="E392" s="4">
        <v>100019474</v>
      </c>
      <c r="F392" s="3" t="s">
        <v>5532</v>
      </c>
      <c r="G392" s="7" t="s">
        <v>5777</v>
      </c>
      <c r="H392" s="3" t="s">
        <v>5825</v>
      </c>
      <c r="I392" s="3" t="s">
        <v>5826</v>
      </c>
      <c r="J392" s="3" t="s">
        <v>5536</v>
      </c>
      <c r="K392" s="3" t="s">
        <v>5594</v>
      </c>
      <c r="L392" s="8" t="str">
        <f>HYPERLINK("http://slimages.macys.com/is/image/MCY/9758508 ")</f>
        <v xml:space="preserve">http://slimages.macys.com/is/image/MCY/9758508 </v>
      </c>
    </row>
    <row r="393" spans="1:12" ht="24.75" x14ac:dyDescent="0.25">
      <c r="A393" s="6" t="s">
        <v>6584</v>
      </c>
      <c r="B393" s="3" t="s">
        <v>6583</v>
      </c>
      <c r="C393" s="4">
        <v>4</v>
      </c>
      <c r="D393" s="5">
        <v>92</v>
      </c>
      <c r="E393" s="4">
        <v>100019474</v>
      </c>
      <c r="F393" s="3" t="s">
        <v>5532</v>
      </c>
      <c r="G393" s="7" t="s">
        <v>6025</v>
      </c>
      <c r="H393" s="3" t="s">
        <v>5825</v>
      </c>
      <c r="I393" s="3" t="s">
        <v>5826</v>
      </c>
      <c r="J393" s="3" t="s">
        <v>5536</v>
      </c>
      <c r="K393" s="3" t="s">
        <v>5594</v>
      </c>
      <c r="L393" s="8" t="str">
        <f>HYPERLINK("http://slimages.macys.com/is/image/MCY/9758508 ")</f>
        <v xml:space="preserve">http://slimages.macys.com/is/image/MCY/9758508 </v>
      </c>
    </row>
    <row r="394" spans="1:12" ht="24.75" x14ac:dyDescent="0.25">
      <c r="A394" s="6" t="s">
        <v>6585</v>
      </c>
      <c r="B394" s="3" t="s">
        <v>6583</v>
      </c>
      <c r="C394" s="4">
        <v>3</v>
      </c>
      <c r="D394" s="5">
        <v>69</v>
      </c>
      <c r="E394" s="4">
        <v>100019474</v>
      </c>
      <c r="F394" s="3" t="s">
        <v>5532</v>
      </c>
      <c r="G394" s="7" t="s">
        <v>5835</v>
      </c>
      <c r="H394" s="3" t="s">
        <v>5825</v>
      </c>
      <c r="I394" s="3" t="s">
        <v>5826</v>
      </c>
      <c r="J394" s="3" t="s">
        <v>5536</v>
      </c>
      <c r="K394" s="3" t="s">
        <v>5594</v>
      </c>
      <c r="L394" s="8" t="str">
        <f>HYPERLINK("http://slimages.macys.com/is/image/MCY/9758508 ")</f>
        <v xml:space="preserve">http://slimages.macys.com/is/image/MCY/9758508 </v>
      </c>
    </row>
    <row r="395" spans="1:12" ht="24.75" x14ac:dyDescent="0.25">
      <c r="A395" s="6" t="s">
        <v>6586</v>
      </c>
      <c r="B395" s="3" t="s">
        <v>6583</v>
      </c>
      <c r="C395" s="4">
        <v>2</v>
      </c>
      <c r="D395" s="5">
        <v>46</v>
      </c>
      <c r="E395" s="4">
        <v>100019474</v>
      </c>
      <c r="F395" s="3" t="s">
        <v>5532</v>
      </c>
      <c r="G395" s="7" t="s">
        <v>5779</v>
      </c>
      <c r="H395" s="3" t="s">
        <v>5825</v>
      </c>
      <c r="I395" s="3" t="s">
        <v>5826</v>
      </c>
      <c r="J395" s="3" t="s">
        <v>5536</v>
      </c>
      <c r="K395" s="3" t="s">
        <v>5594</v>
      </c>
      <c r="L395" s="8" t="str">
        <f>HYPERLINK("http://slimages.macys.com/is/image/MCY/9758508 ")</f>
        <v xml:space="preserve">http://slimages.macys.com/is/image/MCY/9758508 </v>
      </c>
    </row>
    <row r="396" spans="1:12" ht="24.75" x14ac:dyDescent="0.25">
      <c r="A396" s="6" t="s">
        <v>6587</v>
      </c>
      <c r="B396" s="3" t="s">
        <v>6583</v>
      </c>
      <c r="C396" s="4">
        <v>3</v>
      </c>
      <c r="D396" s="5">
        <v>69</v>
      </c>
      <c r="E396" s="4">
        <v>100019474</v>
      </c>
      <c r="F396" s="3" t="s">
        <v>5532</v>
      </c>
      <c r="G396" s="7"/>
      <c r="H396" s="3" t="s">
        <v>5825</v>
      </c>
      <c r="I396" s="3" t="s">
        <v>5826</v>
      </c>
      <c r="J396" s="3" t="s">
        <v>5536</v>
      </c>
      <c r="K396" s="3" t="s">
        <v>5594</v>
      </c>
      <c r="L396" s="8" t="str">
        <f>HYPERLINK("http://slimages.macys.com/is/image/MCY/9758508 ")</f>
        <v xml:space="preserve">http://slimages.macys.com/is/image/MCY/9758508 </v>
      </c>
    </row>
    <row r="397" spans="1:12" ht="24.75" x14ac:dyDescent="0.25">
      <c r="A397" s="6" t="s">
        <v>6588</v>
      </c>
      <c r="B397" s="3" t="s">
        <v>6581</v>
      </c>
      <c r="C397" s="4">
        <v>1</v>
      </c>
      <c r="D397" s="5">
        <v>23</v>
      </c>
      <c r="E397" s="4">
        <v>100005324</v>
      </c>
      <c r="F397" s="3" t="s">
        <v>5532</v>
      </c>
      <c r="G397" s="7"/>
      <c r="H397" s="3" t="s">
        <v>5825</v>
      </c>
      <c r="I397" s="3" t="s">
        <v>5826</v>
      </c>
      <c r="J397" s="3" t="s">
        <v>5536</v>
      </c>
      <c r="K397" s="3" t="s">
        <v>5594</v>
      </c>
      <c r="L397" s="8" t="str">
        <f>HYPERLINK("http://slimages.macys.com/is/image/MCY/9267398 ")</f>
        <v xml:space="preserve">http://slimages.macys.com/is/image/MCY/9267398 </v>
      </c>
    </row>
    <row r="398" spans="1:12" ht="24.75" x14ac:dyDescent="0.25">
      <c r="A398" s="6" t="s">
        <v>6589</v>
      </c>
      <c r="B398" s="3" t="s">
        <v>6581</v>
      </c>
      <c r="C398" s="4">
        <v>1</v>
      </c>
      <c r="D398" s="5">
        <v>23</v>
      </c>
      <c r="E398" s="4">
        <v>100005324</v>
      </c>
      <c r="F398" s="3" t="s">
        <v>5532</v>
      </c>
      <c r="G398" s="7" t="s">
        <v>5830</v>
      </c>
      <c r="H398" s="3" t="s">
        <v>5825</v>
      </c>
      <c r="I398" s="3" t="s">
        <v>5826</v>
      </c>
      <c r="J398" s="3" t="s">
        <v>5536</v>
      </c>
      <c r="K398" s="3" t="s">
        <v>5594</v>
      </c>
      <c r="L398" s="8" t="str">
        <f>HYPERLINK("http://slimages.macys.com/is/image/MCY/9267398 ")</f>
        <v xml:space="preserve">http://slimages.macys.com/is/image/MCY/9267398 </v>
      </c>
    </row>
    <row r="399" spans="1:12" ht="24.75" x14ac:dyDescent="0.25">
      <c r="A399" s="6" t="s">
        <v>6590</v>
      </c>
      <c r="B399" s="3" t="s">
        <v>6581</v>
      </c>
      <c r="C399" s="4">
        <v>1</v>
      </c>
      <c r="D399" s="5">
        <v>23</v>
      </c>
      <c r="E399" s="4">
        <v>100005324</v>
      </c>
      <c r="F399" s="3" t="s">
        <v>5532</v>
      </c>
      <c r="G399" s="7" t="s">
        <v>5824</v>
      </c>
      <c r="H399" s="3" t="s">
        <v>5825</v>
      </c>
      <c r="I399" s="3" t="s">
        <v>5826</v>
      </c>
      <c r="J399" s="3" t="s">
        <v>5536</v>
      </c>
      <c r="K399" s="3" t="s">
        <v>5594</v>
      </c>
      <c r="L399" s="8" t="str">
        <f>HYPERLINK("http://slimages.macys.com/is/image/MCY/9267398 ")</f>
        <v xml:space="preserve">http://slimages.macys.com/is/image/MCY/9267398 </v>
      </c>
    </row>
    <row r="400" spans="1:12" ht="24.75" x14ac:dyDescent="0.25">
      <c r="A400" s="6" t="s">
        <v>6591</v>
      </c>
      <c r="B400" s="3" t="s">
        <v>6581</v>
      </c>
      <c r="C400" s="4">
        <v>1</v>
      </c>
      <c r="D400" s="5">
        <v>23</v>
      </c>
      <c r="E400" s="4">
        <v>100005324</v>
      </c>
      <c r="F400" s="3" t="s">
        <v>5532</v>
      </c>
      <c r="G400" s="7"/>
      <c r="H400" s="3" t="s">
        <v>5825</v>
      </c>
      <c r="I400" s="3" t="s">
        <v>5826</v>
      </c>
      <c r="J400" s="3" t="s">
        <v>5536</v>
      </c>
      <c r="K400" s="3" t="s">
        <v>5594</v>
      </c>
      <c r="L400" s="8" t="str">
        <f>HYPERLINK("http://slimages.macys.com/is/image/MCY/9267398 ")</f>
        <v xml:space="preserve">http://slimages.macys.com/is/image/MCY/9267398 </v>
      </c>
    </row>
    <row r="401" spans="1:12" ht="24.75" x14ac:dyDescent="0.25">
      <c r="A401" s="6" t="s">
        <v>6592</v>
      </c>
      <c r="B401" s="3" t="s">
        <v>6581</v>
      </c>
      <c r="C401" s="4">
        <v>1</v>
      </c>
      <c r="D401" s="5">
        <v>23</v>
      </c>
      <c r="E401" s="4">
        <v>100005324</v>
      </c>
      <c r="F401" s="3" t="s">
        <v>5532</v>
      </c>
      <c r="G401" s="7" t="s">
        <v>5835</v>
      </c>
      <c r="H401" s="3" t="s">
        <v>5825</v>
      </c>
      <c r="I401" s="3" t="s">
        <v>5826</v>
      </c>
      <c r="J401" s="3" t="s">
        <v>5536</v>
      </c>
      <c r="K401" s="3" t="s">
        <v>5594</v>
      </c>
      <c r="L401" s="8" t="str">
        <f>HYPERLINK("http://slimages.macys.com/is/image/MCY/9267398 ")</f>
        <v xml:space="preserve">http://slimages.macys.com/is/image/MCY/9267398 </v>
      </c>
    </row>
    <row r="402" spans="1:12" ht="24.75" x14ac:dyDescent="0.25">
      <c r="A402" s="6" t="s">
        <v>6593</v>
      </c>
      <c r="B402" s="3" t="s">
        <v>6583</v>
      </c>
      <c r="C402" s="4">
        <v>1</v>
      </c>
      <c r="D402" s="5">
        <v>23</v>
      </c>
      <c r="E402" s="4">
        <v>100019474</v>
      </c>
      <c r="F402" s="3" t="s">
        <v>5532</v>
      </c>
      <c r="G402" s="7" t="s">
        <v>5824</v>
      </c>
      <c r="H402" s="3" t="s">
        <v>5825</v>
      </c>
      <c r="I402" s="3" t="s">
        <v>5826</v>
      </c>
      <c r="J402" s="3" t="s">
        <v>5536</v>
      </c>
      <c r="K402" s="3" t="s">
        <v>5594</v>
      </c>
      <c r="L402" s="8" t="str">
        <f>HYPERLINK("http://slimages.macys.com/is/image/MCY/9758508 ")</f>
        <v xml:space="preserve">http://slimages.macys.com/is/image/MCY/9758508 </v>
      </c>
    </row>
    <row r="403" spans="1:12" ht="24.75" x14ac:dyDescent="0.25">
      <c r="A403" s="6" t="s">
        <v>6594</v>
      </c>
      <c r="B403" s="3" t="s">
        <v>6583</v>
      </c>
      <c r="C403" s="4">
        <v>1</v>
      </c>
      <c r="D403" s="5">
        <v>23</v>
      </c>
      <c r="E403" s="4">
        <v>100019474</v>
      </c>
      <c r="F403" s="3" t="s">
        <v>5532</v>
      </c>
      <c r="G403" s="7" t="s">
        <v>5766</v>
      </c>
      <c r="H403" s="3" t="s">
        <v>5825</v>
      </c>
      <c r="I403" s="3" t="s">
        <v>5826</v>
      </c>
      <c r="J403" s="3" t="s">
        <v>5536</v>
      </c>
      <c r="K403" s="3" t="s">
        <v>5594</v>
      </c>
      <c r="L403" s="8" t="str">
        <f>HYPERLINK("http://slimages.macys.com/is/image/MCY/9758508 ")</f>
        <v xml:space="preserve">http://slimages.macys.com/is/image/MCY/9758508 </v>
      </c>
    </row>
    <row r="404" spans="1:12" ht="24.75" x14ac:dyDescent="0.25">
      <c r="A404" s="6" t="s">
        <v>6595</v>
      </c>
      <c r="B404" s="3" t="s">
        <v>6581</v>
      </c>
      <c r="C404" s="4">
        <v>1</v>
      </c>
      <c r="D404" s="5">
        <v>23</v>
      </c>
      <c r="E404" s="4">
        <v>100005324</v>
      </c>
      <c r="F404" s="3" t="s">
        <v>5532</v>
      </c>
      <c r="G404" s="7" t="s">
        <v>6025</v>
      </c>
      <c r="H404" s="3" t="s">
        <v>5825</v>
      </c>
      <c r="I404" s="3" t="s">
        <v>5826</v>
      </c>
      <c r="J404" s="3" t="s">
        <v>5536</v>
      </c>
      <c r="K404" s="3" t="s">
        <v>5594</v>
      </c>
      <c r="L404" s="8" t="str">
        <f>HYPERLINK("http://slimages.macys.com/is/image/MCY/9267398 ")</f>
        <v xml:space="preserve">http://slimages.macys.com/is/image/MCY/9267398 </v>
      </c>
    </row>
    <row r="405" spans="1:12" ht="24.75" x14ac:dyDescent="0.25">
      <c r="A405" s="6" t="s">
        <v>6596</v>
      </c>
      <c r="B405" s="3" t="s">
        <v>6583</v>
      </c>
      <c r="C405" s="4">
        <v>2</v>
      </c>
      <c r="D405" s="5">
        <v>46</v>
      </c>
      <c r="E405" s="4">
        <v>100019474</v>
      </c>
      <c r="F405" s="3" t="s">
        <v>5532</v>
      </c>
      <c r="G405" s="7" t="s">
        <v>6476</v>
      </c>
      <c r="H405" s="3" t="s">
        <v>5825</v>
      </c>
      <c r="I405" s="3" t="s">
        <v>5826</v>
      </c>
      <c r="J405" s="3" t="s">
        <v>5536</v>
      </c>
      <c r="K405" s="3" t="s">
        <v>5594</v>
      </c>
      <c r="L405" s="8" t="str">
        <f>HYPERLINK("http://slimages.macys.com/is/image/MCY/9758508 ")</f>
        <v xml:space="preserve">http://slimages.macys.com/is/image/MCY/9758508 </v>
      </c>
    </row>
    <row r="406" spans="1:12" ht="24.75" x14ac:dyDescent="0.25">
      <c r="A406" s="6" t="s">
        <v>6597</v>
      </c>
      <c r="B406" s="3" t="s">
        <v>6598</v>
      </c>
      <c r="C406" s="4">
        <v>1</v>
      </c>
      <c r="D406" s="5">
        <v>27.5</v>
      </c>
      <c r="E406" s="4" t="s">
        <v>6599</v>
      </c>
      <c r="F406" s="3" t="s">
        <v>5540</v>
      </c>
      <c r="G406" s="7" t="s">
        <v>5598</v>
      </c>
      <c r="H406" s="3" t="s">
        <v>6026</v>
      </c>
      <c r="I406" s="3" t="s">
        <v>6600</v>
      </c>
      <c r="J406" s="3" t="s">
        <v>5536</v>
      </c>
      <c r="K406" s="3" t="s">
        <v>5727</v>
      </c>
      <c r="L406" s="8" t="str">
        <f>HYPERLINK("http://slimages.macys.com/is/image/MCY/13935976 ")</f>
        <v xml:space="preserve">http://slimages.macys.com/is/image/MCY/13935976 </v>
      </c>
    </row>
    <row r="407" spans="1:12" ht="24.75" x14ac:dyDescent="0.25">
      <c r="A407" s="6" t="s">
        <v>6601</v>
      </c>
      <c r="B407" s="3" t="s">
        <v>6602</v>
      </c>
      <c r="C407" s="4">
        <v>1</v>
      </c>
      <c r="D407" s="5">
        <v>30</v>
      </c>
      <c r="E407" s="4" t="s">
        <v>6603</v>
      </c>
      <c r="F407" s="3" t="s">
        <v>5540</v>
      </c>
      <c r="G407" s="7" t="s">
        <v>5598</v>
      </c>
      <c r="H407" s="3" t="s">
        <v>6492</v>
      </c>
      <c r="I407" s="3" t="s">
        <v>6604</v>
      </c>
      <c r="J407" s="3" t="s">
        <v>5536</v>
      </c>
      <c r="K407" s="3" t="s">
        <v>5549</v>
      </c>
      <c r="L407" s="8" t="str">
        <f>HYPERLINK("http://slimages.macys.com/is/image/MCY/15122708 ")</f>
        <v xml:space="preserve">http://slimages.macys.com/is/image/MCY/15122708 </v>
      </c>
    </row>
    <row r="408" spans="1:12" ht="24.75" x14ac:dyDescent="0.25">
      <c r="A408" s="6" t="s">
        <v>6605</v>
      </c>
      <c r="B408" s="3" t="s">
        <v>6606</v>
      </c>
      <c r="C408" s="4">
        <v>2</v>
      </c>
      <c r="D408" s="5">
        <v>49.98</v>
      </c>
      <c r="E408" s="4" t="s">
        <v>6607</v>
      </c>
      <c r="F408" s="3" t="s">
        <v>5552</v>
      </c>
      <c r="G408" s="7" t="s">
        <v>5562</v>
      </c>
      <c r="H408" s="3" t="s">
        <v>6608</v>
      </c>
      <c r="I408" s="3" t="s">
        <v>6609</v>
      </c>
      <c r="J408" s="3" t="s">
        <v>5536</v>
      </c>
      <c r="K408" s="3" t="s">
        <v>6610</v>
      </c>
      <c r="L408" s="8" t="str">
        <f>HYPERLINK("http://slimages.macys.com/is/image/MCY/14311832 ")</f>
        <v xml:space="preserve">http://slimages.macys.com/is/image/MCY/14311832 </v>
      </c>
    </row>
    <row r="409" spans="1:12" ht="36.75" x14ac:dyDescent="0.25">
      <c r="A409" s="6" t="s">
        <v>6611</v>
      </c>
      <c r="B409" s="3" t="s">
        <v>6612</v>
      </c>
      <c r="C409" s="4">
        <v>19</v>
      </c>
      <c r="D409" s="5">
        <v>396.72</v>
      </c>
      <c r="E409" s="4" t="s">
        <v>6613</v>
      </c>
      <c r="F409" s="3" t="s">
        <v>5540</v>
      </c>
      <c r="G409" s="7" t="s">
        <v>5533</v>
      </c>
      <c r="H409" s="3" t="s">
        <v>5842</v>
      </c>
      <c r="I409" s="3" t="s">
        <v>5843</v>
      </c>
      <c r="J409" s="3" t="s">
        <v>5536</v>
      </c>
      <c r="K409" s="3" t="s">
        <v>6614</v>
      </c>
      <c r="L409" s="8" t="str">
        <f>HYPERLINK("http://slimages.macys.com/is/image/MCY/15251823 ")</f>
        <v xml:space="preserve">http://slimages.macys.com/is/image/MCY/15251823 </v>
      </c>
    </row>
    <row r="410" spans="1:12" ht="36.75" x14ac:dyDescent="0.25">
      <c r="A410" s="6" t="s">
        <v>6615</v>
      </c>
      <c r="B410" s="3" t="s">
        <v>6612</v>
      </c>
      <c r="C410" s="4">
        <v>22</v>
      </c>
      <c r="D410" s="5">
        <v>459.36</v>
      </c>
      <c r="E410" s="4" t="s">
        <v>6613</v>
      </c>
      <c r="F410" s="3" t="s">
        <v>5540</v>
      </c>
      <c r="G410" s="7" t="s">
        <v>5596</v>
      </c>
      <c r="H410" s="3" t="s">
        <v>5842</v>
      </c>
      <c r="I410" s="3" t="s">
        <v>5843</v>
      </c>
      <c r="J410" s="3" t="s">
        <v>5536</v>
      </c>
      <c r="K410" s="3" t="s">
        <v>6614</v>
      </c>
      <c r="L410" s="8" t="str">
        <f>HYPERLINK("http://slimages.macys.com/is/image/MCY/15251823 ")</f>
        <v xml:space="preserve">http://slimages.macys.com/is/image/MCY/15251823 </v>
      </c>
    </row>
    <row r="411" spans="1:12" ht="36.75" x14ac:dyDescent="0.25">
      <c r="A411" s="6" t="s">
        <v>6616</v>
      </c>
      <c r="B411" s="3" t="s">
        <v>6612</v>
      </c>
      <c r="C411" s="4">
        <v>12</v>
      </c>
      <c r="D411" s="5">
        <v>250.56</v>
      </c>
      <c r="E411" s="4" t="s">
        <v>6613</v>
      </c>
      <c r="F411" s="3" t="s">
        <v>5540</v>
      </c>
      <c r="G411" s="7" t="s">
        <v>5562</v>
      </c>
      <c r="H411" s="3" t="s">
        <v>5842</v>
      </c>
      <c r="I411" s="3" t="s">
        <v>5843</v>
      </c>
      <c r="J411" s="3" t="s">
        <v>5536</v>
      </c>
      <c r="K411" s="3" t="s">
        <v>6614</v>
      </c>
      <c r="L411" s="8" t="str">
        <f>HYPERLINK("http://slimages.macys.com/is/image/MCY/15251823 ")</f>
        <v xml:space="preserve">http://slimages.macys.com/is/image/MCY/15251823 </v>
      </c>
    </row>
    <row r="412" spans="1:12" x14ac:dyDescent="0.25">
      <c r="A412" s="6" t="s">
        <v>6617</v>
      </c>
      <c r="B412" s="3" t="s">
        <v>6618</v>
      </c>
      <c r="C412" s="4">
        <v>1</v>
      </c>
      <c r="D412" s="5">
        <v>29.99</v>
      </c>
      <c r="E412" s="4" t="s">
        <v>6619</v>
      </c>
      <c r="F412" s="3" t="s">
        <v>5540</v>
      </c>
      <c r="G412" s="7" t="s">
        <v>5533</v>
      </c>
      <c r="H412" s="3" t="s">
        <v>6065</v>
      </c>
      <c r="I412" s="3" t="s">
        <v>6066</v>
      </c>
      <c r="J412" s="3" t="s">
        <v>5536</v>
      </c>
      <c r="K412" s="3" t="s">
        <v>5594</v>
      </c>
      <c r="L412" s="8" t="str">
        <f>HYPERLINK("http://slimages.macys.com/is/image/MCY/15361040 ")</f>
        <v xml:space="preserve">http://slimages.macys.com/is/image/MCY/15361040 </v>
      </c>
    </row>
    <row r="413" spans="1:12" x14ac:dyDescent="0.25">
      <c r="A413" s="6" t="s">
        <v>6620</v>
      </c>
      <c r="B413" s="3" t="s">
        <v>6621</v>
      </c>
      <c r="C413" s="4">
        <v>1</v>
      </c>
      <c r="D413" s="5">
        <v>29.99</v>
      </c>
      <c r="E413" s="4" t="s">
        <v>6622</v>
      </c>
      <c r="F413" s="3" t="s">
        <v>5552</v>
      </c>
      <c r="G413" s="7" t="s">
        <v>5560</v>
      </c>
      <c r="H413" s="3" t="s">
        <v>6065</v>
      </c>
      <c r="I413" s="3" t="s">
        <v>6066</v>
      </c>
      <c r="J413" s="3" t="s">
        <v>5536</v>
      </c>
      <c r="K413" s="3" t="s">
        <v>5594</v>
      </c>
      <c r="L413" s="8" t="str">
        <f>HYPERLINK("http://slimages.macys.com/is/image/MCY/15361100 ")</f>
        <v xml:space="preserve">http://slimages.macys.com/is/image/MCY/15361100 </v>
      </c>
    </row>
    <row r="414" spans="1:12" ht="24.75" x14ac:dyDescent="0.25">
      <c r="A414" s="6" t="s">
        <v>6623</v>
      </c>
      <c r="B414" s="3" t="s">
        <v>6624</v>
      </c>
      <c r="C414" s="4">
        <v>1</v>
      </c>
      <c r="D414" s="5">
        <v>21.99</v>
      </c>
      <c r="E414" s="4" t="s">
        <v>6625</v>
      </c>
      <c r="F414" s="3" t="s">
        <v>5625</v>
      </c>
      <c r="G414" s="7" t="s">
        <v>6626</v>
      </c>
      <c r="H414" s="3" t="s">
        <v>6627</v>
      </c>
      <c r="I414" s="3" t="s">
        <v>6628</v>
      </c>
      <c r="J414" s="3" t="s">
        <v>5536</v>
      </c>
      <c r="K414" s="3" t="s">
        <v>6133</v>
      </c>
      <c r="L414" s="8" t="str">
        <f>HYPERLINK("http://slimages.macys.com/is/image/MCY/2627506 ")</f>
        <v xml:space="preserve">http://slimages.macys.com/is/image/MCY/2627506 </v>
      </c>
    </row>
    <row r="415" spans="1:12" ht="24.75" x14ac:dyDescent="0.25">
      <c r="A415" s="6" t="s">
        <v>6629</v>
      </c>
      <c r="B415" s="3" t="s">
        <v>6630</v>
      </c>
      <c r="C415" s="4">
        <v>3</v>
      </c>
      <c r="D415" s="5">
        <v>59.97</v>
      </c>
      <c r="E415" s="4" t="s">
        <v>6631</v>
      </c>
      <c r="F415" s="3" t="s">
        <v>5540</v>
      </c>
      <c r="G415" s="7" t="s">
        <v>5898</v>
      </c>
      <c r="H415" s="3" t="s">
        <v>6632</v>
      </c>
      <c r="I415" s="3" t="s">
        <v>6633</v>
      </c>
      <c r="J415" s="3" t="s">
        <v>5536</v>
      </c>
      <c r="K415" s="3" t="s">
        <v>6634</v>
      </c>
      <c r="L415" s="8" t="str">
        <f>HYPERLINK("http://slimages.macys.com/is/image/MCY/13740476 ")</f>
        <v xml:space="preserve">http://slimages.macys.com/is/image/MCY/13740476 </v>
      </c>
    </row>
    <row r="416" spans="1:12" ht="24.75" x14ac:dyDescent="0.25">
      <c r="A416" s="6" t="s">
        <v>6635</v>
      </c>
      <c r="B416" s="3" t="s">
        <v>6636</v>
      </c>
      <c r="C416" s="4">
        <v>1</v>
      </c>
      <c r="D416" s="5">
        <v>29.99</v>
      </c>
      <c r="E416" s="4" t="s">
        <v>6637</v>
      </c>
      <c r="F416" s="3" t="s">
        <v>5532</v>
      </c>
      <c r="G416" s="7" t="s">
        <v>5596</v>
      </c>
      <c r="H416" s="3" t="s">
        <v>6065</v>
      </c>
      <c r="I416" s="3" t="s">
        <v>6066</v>
      </c>
      <c r="J416" s="3" t="s">
        <v>5536</v>
      </c>
      <c r="K416" s="3" t="s">
        <v>6638</v>
      </c>
      <c r="L416" s="8" t="str">
        <f>HYPERLINK("http://slimages.macys.com/is/image/MCY/8796569 ")</f>
        <v xml:space="preserve">http://slimages.macys.com/is/image/MCY/8796569 </v>
      </c>
    </row>
    <row r="417" spans="1:12" ht="24.75" x14ac:dyDescent="0.25">
      <c r="A417" s="6" t="s">
        <v>6639</v>
      </c>
      <c r="B417" s="3" t="s">
        <v>6640</v>
      </c>
      <c r="C417" s="4">
        <v>1</v>
      </c>
      <c r="D417" s="5">
        <v>15</v>
      </c>
      <c r="E417" s="4" t="s">
        <v>6641</v>
      </c>
      <c r="F417" s="3" t="s">
        <v>5798</v>
      </c>
      <c r="G417" s="7" t="s">
        <v>6252</v>
      </c>
      <c r="H417" s="3" t="s">
        <v>5606</v>
      </c>
      <c r="I417" s="3" t="s">
        <v>6258</v>
      </c>
      <c r="J417" s="3" t="s">
        <v>5536</v>
      </c>
      <c r="K417" s="3" t="s">
        <v>6642</v>
      </c>
      <c r="L417" s="8" t="str">
        <f>HYPERLINK("http://slimages.macys.com/is/image/MCY/15440955 ")</f>
        <v xml:space="preserve">http://slimages.macys.com/is/image/MCY/15440955 </v>
      </c>
    </row>
    <row r="418" spans="1:12" ht="24.75" x14ac:dyDescent="0.25">
      <c r="A418" s="6" t="s">
        <v>6643</v>
      </c>
      <c r="B418" s="3" t="s">
        <v>6644</v>
      </c>
      <c r="C418" s="4">
        <v>1</v>
      </c>
      <c r="D418" s="5">
        <v>9.99</v>
      </c>
      <c r="E418" s="4" t="s">
        <v>6645</v>
      </c>
      <c r="F418" s="3" t="s">
        <v>6335</v>
      </c>
      <c r="G418" s="7"/>
      <c r="H418" s="3" t="s">
        <v>6026</v>
      </c>
      <c r="I418" s="3" t="s">
        <v>6646</v>
      </c>
      <c r="J418" s="3" t="s">
        <v>5536</v>
      </c>
      <c r="K418" s="3" t="s">
        <v>5574</v>
      </c>
      <c r="L418" s="8" t="str">
        <f>HYPERLINK("http://slimages.macys.com/is/image/MCY/3954218 ")</f>
        <v xml:space="preserve">http://slimages.macys.com/is/image/MCY/3954218 </v>
      </c>
    </row>
    <row r="419" spans="1:12" ht="24.75" x14ac:dyDescent="0.25">
      <c r="A419" s="6" t="s">
        <v>6647</v>
      </c>
      <c r="B419" s="3" t="s">
        <v>6648</v>
      </c>
      <c r="C419" s="4">
        <v>1</v>
      </c>
      <c r="D419" s="5">
        <v>17.77</v>
      </c>
      <c r="E419" s="4" t="s">
        <v>6649</v>
      </c>
      <c r="F419" s="3" t="s">
        <v>5532</v>
      </c>
      <c r="G419" s="7"/>
      <c r="H419" s="3" t="s">
        <v>6026</v>
      </c>
      <c r="I419" s="3" t="s">
        <v>6646</v>
      </c>
      <c r="J419" s="3" t="s">
        <v>5536</v>
      </c>
      <c r="K419" s="3" t="s">
        <v>5574</v>
      </c>
      <c r="L419" s="8" t="str">
        <f>HYPERLINK("http://slimages.macys.com/is/image/MCY/13038335 ")</f>
        <v xml:space="preserve">http://slimages.macys.com/is/image/MCY/13038335 </v>
      </c>
    </row>
    <row r="420" spans="1:12" ht="24.75" x14ac:dyDescent="0.25">
      <c r="A420" s="6" t="s">
        <v>6650</v>
      </c>
      <c r="B420" s="3" t="s">
        <v>6651</v>
      </c>
      <c r="C420" s="4">
        <v>1</v>
      </c>
      <c r="D420" s="5">
        <v>27.99</v>
      </c>
      <c r="E420" s="4">
        <v>10008460800</v>
      </c>
      <c r="F420" s="3" t="s">
        <v>5532</v>
      </c>
      <c r="G420" s="7" t="s">
        <v>6252</v>
      </c>
      <c r="H420" s="3" t="s">
        <v>6652</v>
      </c>
      <c r="I420" s="3" t="s">
        <v>6653</v>
      </c>
      <c r="J420" s="3" t="s">
        <v>5536</v>
      </c>
      <c r="K420" s="3" t="s">
        <v>5587</v>
      </c>
      <c r="L420" s="8" t="str">
        <f>HYPERLINK("http://slimages.macys.com/is/image/MCY/15924999 ")</f>
        <v xml:space="preserve">http://slimages.macys.com/is/image/MCY/15924999 </v>
      </c>
    </row>
    <row r="421" spans="1:12" ht="24.75" x14ac:dyDescent="0.25">
      <c r="A421" s="6" t="s">
        <v>6654</v>
      </c>
      <c r="B421" s="3" t="s">
        <v>6655</v>
      </c>
      <c r="C421" s="4">
        <v>2</v>
      </c>
      <c r="D421" s="5">
        <v>55.98</v>
      </c>
      <c r="E421" s="4">
        <v>10006153900</v>
      </c>
      <c r="F421" s="3" t="s">
        <v>6010</v>
      </c>
      <c r="G421" s="7" t="s">
        <v>6252</v>
      </c>
      <c r="H421" s="3" t="s">
        <v>6652</v>
      </c>
      <c r="I421" s="3" t="s">
        <v>6653</v>
      </c>
      <c r="J421" s="3" t="s">
        <v>5536</v>
      </c>
      <c r="K421" s="3" t="s">
        <v>6507</v>
      </c>
      <c r="L421" s="8" t="str">
        <f>HYPERLINK("http://slimages.macys.com/is/image/MCY/11607514 ")</f>
        <v xml:space="preserve">http://slimages.macys.com/is/image/MCY/11607514 </v>
      </c>
    </row>
    <row r="422" spans="1:12" ht="36.75" x14ac:dyDescent="0.25">
      <c r="A422" s="6" t="s">
        <v>6656</v>
      </c>
      <c r="B422" s="3" t="s">
        <v>6657</v>
      </c>
      <c r="C422" s="4">
        <v>1</v>
      </c>
      <c r="D422" s="5">
        <v>27.99</v>
      </c>
      <c r="E422" s="4">
        <v>10008585700</v>
      </c>
      <c r="F422" s="3" t="s">
        <v>5661</v>
      </c>
      <c r="G422" s="7" t="s">
        <v>6252</v>
      </c>
      <c r="H422" s="3" t="s">
        <v>6652</v>
      </c>
      <c r="I422" s="3" t="s">
        <v>6653</v>
      </c>
      <c r="J422" s="3" t="s">
        <v>5536</v>
      </c>
      <c r="K422" s="3" t="s">
        <v>6658</v>
      </c>
      <c r="L422" s="8" t="str">
        <f>HYPERLINK("http://slimages.macys.com/is/image/MCY/15664883 ")</f>
        <v xml:space="preserve">http://slimages.macys.com/is/image/MCY/15664883 </v>
      </c>
    </row>
    <row r="423" spans="1:12" ht="24.75" x14ac:dyDescent="0.25">
      <c r="A423" s="6" t="s">
        <v>6659</v>
      </c>
      <c r="B423" s="3" t="s">
        <v>6660</v>
      </c>
      <c r="C423" s="4">
        <v>1</v>
      </c>
      <c r="D423" s="5">
        <v>29.99</v>
      </c>
      <c r="E423" s="4" t="s">
        <v>6661</v>
      </c>
      <c r="F423" s="3" t="s">
        <v>5754</v>
      </c>
      <c r="G423" s="7" t="s">
        <v>5560</v>
      </c>
      <c r="H423" s="3" t="s">
        <v>6065</v>
      </c>
      <c r="I423" s="3" t="s">
        <v>6066</v>
      </c>
      <c r="J423" s="3" t="s">
        <v>5536</v>
      </c>
      <c r="K423" s="3" t="s">
        <v>6638</v>
      </c>
      <c r="L423" s="8" t="str">
        <f>HYPERLINK("http://slimages.macys.com/is/image/MCY/8796569 ")</f>
        <v xml:space="preserve">http://slimages.macys.com/is/image/MCY/8796569 </v>
      </c>
    </row>
    <row r="424" spans="1:12" ht="24.75" x14ac:dyDescent="0.25">
      <c r="A424" s="6" t="s">
        <v>6662</v>
      </c>
      <c r="B424" s="3" t="s">
        <v>6660</v>
      </c>
      <c r="C424" s="4">
        <v>1</v>
      </c>
      <c r="D424" s="5">
        <v>29.99</v>
      </c>
      <c r="E424" s="4" t="s">
        <v>6663</v>
      </c>
      <c r="F424" s="3" t="s">
        <v>5604</v>
      </c>
      <c r="G424" s="7" t="s">
        <v>5596</v>
      </c>
      <c r="H424" s="3" t="s">
        <v>6065</v>
      </c>
      <c r="I424" s="3" t="s">
        <v>6066</v>
      </c>
      <c r="J424" s="3" t="s">
        <v>5536</v>
      </c>
      <c r="K424" s="3" t="s">
        <v>6638</v>
      </c>
      <c r="L424" s="8" t="str">
        <f>HYPERLINK("http://slimages.macys.com/is/image/MCY/8796569 ")</f>
        <v xml:space="preserve">http://slimages.macys.com/is/image/MCY/8796569 </v>
      </c>
    </row>
    <row r="425" spans="1:12" ht="24.75" x14ac:dyDescent="0.25">
      <c r="A425" s="6" t="s">
        <v>6664</v>
      </c>
      <c r="B425" s="3" t="s">
        <v>6665</v>
      </c>
      <c r="C425" s="4">
        <v>1</v>
      </c>
      <c r="D425" s="5">
        <v>18.989999999999998</v>
      </c>
      <c r="E425" s="4">
        <v>701130</v>
      </c>
      <c r="F425" s="3" t="s">
        <v>5754</v>
      </c>
      <c r="G425" s="7" t="s">
        <v>6666</v>
      </c>
      <c r="H425" s="3" t="s">
        <v>5842</v>
      </c>
      <c r="I425" s="3" t="s">
        <v>6667</v>
      </c>
      <c r="J425" s="3" t="s">
        <v>5536</v>
      </c>
      <c r="K425" s="3" t="s">
        <v>5984</v>
      </c>
      <c r="L425" s="8" t="str">
        <f>HYPERLINK("http://slimages.macys.com/is/image/MCY/3883908 ")</f>
        <v xml:space="preserve">http://slimages.macys.com/is/image/MCY/3883908 </v>
      </c>
    </row>
    <row r="426" spans="1:12" x14ac:dyDescent="0.25">
      <c r="A426" s="6" t="s">
        <v>6668</v>
      </c>
      <c r="B426" s="3" t="s">
        <v>6669</v>
      </c>
      <c r="C426" s="4">
        <v>1</v>
      </c>
      <c r="D426" s="5">
        <v>24.99</v>
      </c>
      <c r="E426" s="4" t="s">
        <v>6670</v>
      </c>
      <c r="F426" s="3" t="s">
        <v>5532</v>
      </c>
      <c r="G426" s="7" t="s">
        <v>5598</v>
      </c>
      <c r="H426" s="3" t="s">
        <v>6003</v>
      </c>
      <c r="I426" s="3" t="s">
        <v>6004</v>
      </c>
      <c r="J426" s="3" t="s">
        <v>5536</v>
      </c>
      <c r="K426" s="3" t="s">
        <v>5549</v>
      </c>
      <c r="L426" s="8" t="str">
        <f>HYPERLINK("http://slimages.macys.com/is/image/MCY/14367672 ")</f>
        <v xml:space="preserve">http://slimages.macys.com/is/image/MCY/14367672 </v>
      </c>
    </row>
    <row r="427" spans="1:12" ht="24.75" x14ac:dyDescent="0.25">
      <c r="A427" s="6" t="s">
        <v>6671</v>
      </c>
      <c r="B427" s="3" t="s">
        <v>6672</v>
      </c>
      <c r="C427" s="4">
        <v>1</v>
      </c>
      <c r="D427" s="5">
        <v>24.99</v>
      </c>
      <c r="E427" s="4">
        <v>10008577500</v>
      </c>
      <c r="F427" s="3" t="s">
        <v>5532</v>
      </c>
      <c r="G427" s="7" t="s">
        <v>6252</v>
      </c>
      <c r="H427" s="3" t="s">
        <v>6652</v>
      </c>
      <c r="I427" s="3" t="s">
        <v>6673</v>
      </c>
      <c r="J427" s="3" t="s">
        <v>5536</v>
      </c>
      <c r="K427" s="3" t="s">
        <v>6316</v>
      </c>
      <c r="L427" s="8" t="str">
        <f>HYPERLINK("http://slimages.macys.com/is/image/MCY/15917004 ")</f>
        <v xml:space="preserve">http://slimages.macys.com/is/image/MCY/15917004 </v>
      </c>
    </row>
    <row r="428" spans="1:12" ht="24.75" x14ac:dyDescent="0.25">
      <c r="A428" s="6" t="s">
        <v>6674</v>
      </c>
      <c r="B428" s="3" t="s">
        <v>6675</v>
      </c>
      <c r="C428" s="4">
        <v>1</v>
      </c>
      <c r="D428" s="5">
        <v>24.99</v>
      </c>
      <c r="E428" s="4">
        <v>10007804600</v>
      </c>
      <c r="F428" s="3" t="s">
        <v>5625</v>
      </c>
      <c r="G428" s="7" t="s">
        <v>6252</v>
      </c>
      <c r="H428" s="3" t="s">
        <v>6652</v>
      </c>
      <c r="I428" s="3" t="s">
        <v>6673</v>
      </c>
      <c r="J428" s="3" t="s">
        <v>5536</v>
      </c>
      <c r="K428" s="3" t="s">
        <v>6316</v>
      </c>
      <c r="L428" s="8" t="str">
        <f>HYPERLINK("http://slimages.macys.com/is/image/MCY/14912075 ")</f>
        <v xml:space="preserve">http://slimages.macys.com/is/image/MCY/14912075 </v>
      </c>
    </row>
    <row r="429" spans="1:12" ht="24.75" x14ac:dyDescent="0.25">
      <c r="A429" s="6" t="s">
        <v>6676</v>
      </c>
      <c r="B429" s="3" t="s">
        <v>6677</v>
      </c>
      <c r="C429" s="4">
        <v>1</v>
      </c>
      <c r="D429" s="5">
        <v>24.99</v>
      </c>
      <c r="E429" s="4">
        <v>10008576900</v>
      </c>
      <c r="F429" s="3" t="s">
        <v>5661</v>
      </c>
      <c r="G429" s="7" t="s">
        <v>6252</v>
      </c>
      <c r="H429" s="3" t="s">
        <v>6652</v>
      </c>
      <c r="I429" s="3" t="s">
        <v>6673</v>
      </c>
      <c r="J429" s="3" t="s">
        <v>5536</v>
      </c>
      <c r="K429" s="3" t="s">
        <v>6316</v>
      </c>
      <c r="L429" s="8" t="str">
        <f>HYPERLINK("http://slimages.macys.com/is/image/MCY/15879510 ")</f>
        <v xml:space="preserve">http://slimages.macys.com/is/image/MCY/15879510 </v>
      </c>
    </row>
    <row r="430" spans="1:12" ht="24.75" x14ac:dyDescent="0.25">
      <c r="A430" s="6" t="s">
        <v>6678</v>
      </c>
      <c r="B430" s="3" t="s">
        <v>6672</v>
      </c>
      <c r="C430" s="4">
        <v>1</v>
      </c>
      <c r="D430" s="5">
        <v>24.99</v>
      </c>
      <c r="E430" s="4">
        <v>10008577500</v>
      </c>
      <c r="F430" s="3" t="s">
        <v>5540</v>
      </c>
      <c r="G430" s="7" t="s">
        <v>6252</v>
      </c>
      <c r="H430" s="3" t="s">
        <v>6652</v>
      </c>
      <c r="I430" s="3" t="s">
        <v>6673</v>
      </c>
      <c r="J430" s="3" t="s">
        <v>5536</v>
      </c>
      <c r="K430" s="3" t="s">
        <v>6316</v>
      </c>
      <c r="L430" s="8" t="str">
        <f>HYPERLINK("http://slimages.macys.com/is/image/MCY/15917004 ")</f>
        <v xml:space="preserve">http://slimages.macys.com/is/image/MCY/15917004 </v>
      </c>
    </row>
    <row r="431" spans="1:12" ht="24.75" x14ac:dyDescent="0.25">
      <c r="A431" s="6" t="s">
        <v>6679</v>
      </c>
      <c r="B431" s="3" t="s">
        <v>6680</v>
      </c>
      <c r="C431" s="4">
        <v>1</v>
      </c>
      <c r="D431" s="5">
        <v>19.989999999999998</v>
      </c>
      <c r="E431" s="4">
        <v>10008582400</v>
      </c>
      <c r="F431" s="3" t="s">
        <v>5540</v>
      </c>
      <c r="G431" s="7" t="s">
        <v>6252</v>
      </c>
      <c r="H431" s="3" t="s">
        <v>6652</v>
      </c>
      <c r="I431" s="3" t="s">
        <v>6681</v>
      </c>
      <c r="J431" s="3" t="s">
        <v>5536</v>
      </c>
      <c r="K431" s="3" t="s">
        <v>6316</v>
      </c>
      <c r="L431" s="8" t="str">
        <f>HYPERLINK("http://slimages.macys.com/is/image/MCY/15899064 ")</f>
        <v xml:space="preserve">http://slimages.macys.com/is/image/MCY/15899064 </v>
      </c>
    </row>
    <row r="432" spans="1:12" ht="24.75" x14ac:dyDescent="0.25">
      <c r="A432" s="6" t="s">
        <v>6682</v>
      </c>
      <c r="B432" s="3" t="s">
        <v>6683</v>
      </c>
      <c r="C432" s="4">
        <v>1</v>
      </c>
      <c r="D432" s="5">
        <v>19.989999999999998</v>
      </c>
      <c r="E432" s="4">
        <v>10008581600</v>
      </c>
      <c r="F432" s="3" t="s">
        <v>5540</v>
      </c>
      <c r="G432" s="7" t="s">
        <v>6252</v>
      </c>
      <c r="H432" s="3" t="s">
        <v>6652</v>
      </c>
      <c r="I432" s="3" t="s">
        <v>6681</v>
      </c>
      <c r="J432" s="3" t="s">
        <v>5536</v>
      </c>
      <c r="K432" s="3" t="s">
        <v>6316</v>
      </c>
      <c r="L432" s="8" t="str">
        <f>HYPERLINK("http://slimages.macys.com/is/image/MCY/15419833 ")</f>
        <v xml:space="preserve">http://slimages.macys.com/is/image/MCY/15419833 </v>
      </c>
    </row>
    <row r="433" spans="1:12" ht="24.75" x14ac:dyDescent="0.25">
      <c r="A433" s="6" t="s">
        <v>6684</v>
      </c>
      <c r="B433" s="3" t="s">
        <v>6685</v>
      </c>
      <c r="C433" s="4">
        <v>2</v>
      </c>
      <c r="D433" s="5">
        <v>39.979999999999997</v>
      </c>
      <c r="E433" s="4">
        <v>10008574900</v>
      </c>
      <c r="F433" s="3" t="s">
        <v>6300</v>
      </c>
      <c r="G433" s="7" t="s">
        <v>6252</v>
      </c>
      <c r="H433" s="3" t="s">
        <v>6652</v>
      </c>
      <c r="I433" s="3" t="s">
        <v>6686</v>
      </c>
      <c r="J433" s="3" t="s">
        <v>5536</v>
      </c>
      <c r="K433" s="3" t="s">
        <v>6316</v>
      </c>
      <c r="L433" s="8" t="str">
        <f>HYPERLINK("http://slimages.macys.com/is/image/MCY/16174384 ")</f>
        <v xml:space="preserve">http://slimages.macys.com/is/image/MCY/16174384 </v>
      </c>
    </row>
    <row r="434" spans="1:12" ht="24.75" x14ac:dyDescent="0.25">
      <c r="A434" s="6" t="s">
        <v>6687</v>
      </c>
      <c r="B434" s="3" t="s">
        <v>6688</v>
      </c>
      <c r="C434" s="4">
        <v>1</v>
      </c>
      <c r="D434" s="5">
        <v>19.989999999999998</v>
      </c>
      <c r="E434" s="4">
        <v>10008575200</v>
      </c>
      <c r="F434" s="3" t="s">
        <v>5552</v>
      </c>
      <c r="G434" s="7" t="s">
        <v>6252</v>
      </c>
      <c r="H434" s="3" t="s">
        <v>6652</v>
      </c>
      <c r="I434" s="3" t="s">
        <v>6686</v>
      </c>
      <c r="J434" s="3" t="s">
        <v>5536</v>
      </c>
      <c r="K434" s="3" t="s">
        <v>6316</v>
      </c>
      <c r="L434" s="8" t="str">
        <f>HYPERLINK("http://slimages.macys.com/is/image/MCY/15899484 ")</f>
        <v xml:space="preserve">http://slimages.macys.com/is/image/MCY/15899484 </v>
      </c>
    </row>
    <row r="435" spans="1:12" ht="24.75" x14ac:dyDescent="0.25">
      <c r="A435" s="6" t="s">
        <v>6689</v>
      </c>
      <c r="B435" s="3" t="s">
        <v>6690</v>
      </c>
      <c r="C435" s="4">
        <v>2</v>
      </c>
      <c r="D435" s="5">
        <v>39.979999999999997</v>
      </c>
      <c r="E435" s="4">
        <v>10008575000</v>
      </c>
      <c r="F435" s="3" t="s">
        <v>5532</v>
      </c>
      <c r="G435" s="7" t="s">
        <v>6252</v>
      </c>
      <c r="H435" s="3" t="s">
        <v>6652</v>
      </c>
      <c r="I435" s="3" t="s">
        <v>6686</v>
      </c>
      <c r="J435" s="3" t="s">
        <v>5536</v>
      </c>
      <c r="K435" s="3" t="s">
        <v>6316</v>
      </c>
      <c r="L435" s="8" t="str">
        <f>HYPERLINK("http://slimages.macys.com/is/image/MCY/15899453 ")</f>
        <v xml:space="preserve">http://slimages.macys.com/is/image/MCY/15899453 </v>
      </c>
    </row>
    <row r="436" spans="1:12" ht="24.75" x14ac:dyDescent="0.25">
      <c r="A436" s="6" t="s">
        <v>6691</v>
      </c>
      <c r="B436" s="3" t="s">
        <v>6690</v>
      </c>
      <c r="C436" s="4">
        <v>1</v>
      </c>
      <c r="D436" s="5">
        <v>19.989999999999998</v>
      </c>
      <c r="E436" s="4">
        <v>10008575000</v>
      </c>
      <c r="F436" s="3" t="s">
        <v>5625</v>
      </c>
      <c r="G436" s="7" t="s">
        <v>6252</v>
      </c>
      <c r="H436" s="3" t="s">
        <v>6652</v>
      </c>
      <c r="I436" s="3" t="s">
        <v>6686</v>
      </c>
      <c r="J436" s="3" t="s">
        <v>5536</v>
      </c>
      <c r="K436" s="3" t="s">
        <v>6316</v>
      </c>
      <c r="L436" s="8" t="str">
        <f>HYPERLINK("http://slimages.macys.com/is/image/MCY/15899453 ")</f>
        <v xml:space="preserve">http://slimages.macys.com/is/image/MCY/15899453 </v>
      </c>
    </row>
    <row r="437" spans="1:12" ht="24.75" x14ac:dyDescent="0.25">
      <c r="A437" s="6" t="s">
        <v>6692</v>
      </c>
      <c r="B437" s="3" t="s">
        <v>6693</v>
      </c>
      <c r="C437" s="4">
        <v>3</v>
      </c>
      <c r="D437" s="5">
        <v>59.97</v>
      </c>
      <c r="E437" s="4">
        <v>10005868000</v>
      </c>
      <c r="F437" s="3" t="s">
        <v>5552</v>
      </c>
      <c r="G437" s="7" t="s">
        <v>6252</v>
      </c>
      <c r="H437" s="3" t="s">
        <v>6652</v>
      </c>
      <c r="I437" s="3" t="s">
        <v>6686</v>
      </c>
      <c r="J437" s="3" t="s">
        <v>5536</v>
      </c>
      <c r="K437" s="3" t="s">
        <v>6338</v>
      </c>
      <c r="L437" s="8" t="str">
        <f>HYPERLINK("http://slimages.macys.com/is/image/MCY/12503469 ")</f>
        <v xml:space="preserve">http://slimages.macys.com/is/image/MCY/12503469 </v>
      </c>
    </row>
    <row r="438" spans="1:12" ht="24.75" x14ac:dyDescent="0.25">
      <c r="A438" s="6" t="s">
        <v>6694</v>
      </c>
      <c r="B438" s="3" t="s">
        <v>6685</v>
      </c>
      <c r="C438" s="4">
        <v>2</v>
      </c>
      <c r="D438" s="5">
        <v>39.979999999999997</v>
      </c>
      <c r="E438" s="4">
        <v>10008574900</v>
      </c>
      <c r="F438" s="3" t="s">
        <v>5532</v>
      </c>
      <c r="G438" s="7" t="s">
        <v>6252</v>
      </c>
      <c r="H438" s="3" t="s">
        <v>6652</v>
      </c>
      <c r="I438" s="3" t="s">
        <v>6686</v>
      </c>
      <c r="J438" s="3" t="s">
        <v>5536</v>
      </c>
      <c r="K438" s="3" t="s">
        <v>6316</v>
      </c>
      <c r="L438" s="8" t="str">
        <f>HYPERLINK("http://slimages.macys.com/is/image/MCY/16174384 ")</f>
        <v xml:space="preserve">http://slimages.macys.com/is/image/MCY/16174384 </v>
      </c>
    </row>
    <row r="439" spans="1:12" ht="24.75" x14ac:dyDescent="0.25">
      <c r="A439" s="6" t="s">
        <v>6695</v>
      </c>
      <c r="B439" s="3" t="s">
        <v>6696</v>
      </c>
      <c r="C439" s="4">
        <v>1</v>
      </c>
      <c r="D439" s="5">
        <v>19.989999999999998</v>
      </c>
      <c r="E439" s="4">
        <v>10005867200</v>
      </c>
      <c r="F439" s="3" t="s">
        <v>5661</v>
      </c>
      <c r="G439" s="7" t="s">
        <v>6252</v>
      </c>
      <c r="H439" s="3" t="s">
        <v>6652</v>
      </c>
      <c r="I439" s="3" t="s">
        <v>6686</v>
      </c>
      <c r="J439" s="3" t="s">
        <v>5536</v>
      </c>
      <c r="K439" s="3" t="s">
        <v>6338</v>
      </c>
      <c r="L439" s="8" t="str">
        <f>HYPERLINK("http://slimages.macys.com/is/image/MCY/11607330 ")</f>
        <v xml:space="preserve">http://slimages.macys.com/is/image/MCY/11607330 </v>
      </c>
    </row>
    <row r="440" spans="1:12" ht="24.75" x14ac:dyDescent="0.25">
      <c r="A440" s="6" t="s">
        <v>6697</v>
      </c>
      <c r="B440" s="3" t="s">
        <v>6698</v>
      </c>
      <c r="C440" s="4">
        <v>1</v>
      </c>
      <c r="D440" s="5">
        <v>19.989999999999998</v>
      </c>
      <c r="E440" s="4">
        <v>10008526500</v>
      </c>
      <c r="F440" s="3" t="s">
        <v>5661</v>
      </c>
      <c r="G440" s="7" t="s">
        <v>6252</v>
      </c>
      <c r="H440" s="3" t="s">
        <v>6652</v>
      </c>
      <c r="I440" s="3" t="s">
        <v>6686</v>
      </c>
      <c r="J440" s="3" t="s">
        <v>5536</v>
      </c>
      <c r="K440" s="3" t="s">
        <v>6316</v>
      </c>
      <c r="L440" s="8" t="str">
        <f>HYPERLINK("http://slimages.macys.com/is/image/MCY/14814865 ")</f>
        <v xml:space="preserve">http://slimages.macys.com/is/image/MCY/14814865 </v>
      </c>
    </row>
    <row r="441" spans="1:12" ht="24.75" x14ac:dyDescent="0.25">
      <c r="A441" s="6" t="s">
        <v>6699</v>
      </c>
      <c r="B441" s="3" t="s">
        <v>6700</v>
      </c>
      <c r="C441" s="4">
        <v>1</v>
      </c>
      <c r="D441" s="5">
        <v>19.989999999999998</v>
      </c>
      <c r="E441" s="4">
        <v>10008584600</v>
      </c>
      <c r="F441" s="3" t="s">
        <v>5661</v>
      </c>
      <c r="G441" s="7" t="s">
        <v>6252</v>
      </c>
      <c r="H441" s="3" t="s">
        <v>6652</v>
      </c>
      <c r="I441" s="3" t="s">
        <v>6686</v>
      </c>
      <c r="J441" s="3" t="s">
        <v>5536</v>
      </c>
      <c r="K441" s="3" t="s">
        <v>6701</v>
      </c>
      <c r="L441" s="8" t="str">
        <f>HYPERLINK("http://slimages.macys.com/is/image/MCY/15882588 ")</f>
        <v xml:space="preserve">http://slimages.macys.com/is/image/MCY/15882588 </v>
      </c>
    </row>
    <row r="442" spans="1:12" ht="24.75" x14ac:dyDescent="0.25">
      <c r="A442" s="6" t="s">
        <v>6702</v>
      </c>
      <c r="B442" s="3" t="s">
        <v>6657</v>
      </c>
      <c r="C442" s="4">
        <v>1</v>
      </c>
      <c r="D442" s="5">
        <v>19.989999999999998</v>
      </c>
      <c r="E442" s="4">
        <v>10008582700</v>
      </c>
      <c r="F442" s="3" t="s">
        <v>6703</v>
      </c>
      <c r="G442" s="7" t="s">
        <v>6252</v>
      </c>
      <c r="H442" s="3" t="s">
        <v>6652</v>
      </c>
      <c r="I442" s="3" t="s">
        <v>6681</v>
      </c>
      <c r="J442" s="3" t="s">
        <v>5536</v>
      </c>
      <c r="K442" s="3" t="s">
        <v>6316</v>
      </c>
      <c r="L442" s="8" t="str">
        <f>HYPERLINK("http://slimages.macys.com/is/image/MCY/15611837 ")</f>
        <v xml:space="preserve">http://slimages.macys.com/is/image/MCY/15611837 </v>
      </c>
    </row>
    <row r="443" spans="1:12" ht="24.75" x14ac:dyDescent="0.25">
      <c r="A443" s="6" t="s">
        <v>6704</v>
      </c>
      <c r="B443" s="3" t="s">
        <v>6698</v>
      </c>
      <c r="C443" s="4">
        <v>1</v>
      </c>
      <c r="D443" s="5">
        <v>19.989999999999998</v>
      </c>
      <c r="E443" s="4">
        <v>10008526500</v>
      </c>
      <c r="F443" s="3" t="s">
        <v>5532</v>
      </c>
      <c r="G443" s="7" t="s">
        <v>6252</v>
      </c>
      <c r="H443" s="3" t="s">
        <v>6652</v>
      </c>
      <c r="I443" s="3" t="s">
        <v>6686</v>
      </c>
      <c r="J443" s="3" t="s">
        <v>5536</v>
      </c>
      <c r="K443" s="3" t="s">
        <v>6316</v>
      </c>
      <c r="L443" s="8" t="str">
        <f>HYPERLINK("http://slimages.macys.com/is/image/MCY/14814865 ")</f>
        <v xml:space="preserve">http://slimages.macys.com/is/image/MCY/14814865 </v>
      </c>
    </row>
    <row r="444" spans="1:12" ht="24.75" x14ac:dyDescent="0.25">
      <c r="A444" s="6" t="s">
        <v>6705</v>
      </c>
      <c r="B444" s="3" t="s">
        <v>6706</v>
      </c>
      <c r="C444" s="4">
        <v>1</v>
      </c>
      <c r="D444" s="5">
        <v>19.989999999999998</v>
      </c>
      <c r="E444" s="4">
        <v>10008581400</v>
      </c>
      <c r="F444" s="3" t="s">
        <v>5540</v>
      </c>
      <c r="G444" s="7" t="s">
        <v>6252</v>
      </c>
      <c r="H444" s="3" t="s">
        <v>6652</v>
      </c>
      <c r="I444" s="3" t="s">
        <v>6681</v>
      </c>
      <c r="J444" s="3" t="s">
        <v>5536</v>
      </c>
      <c r="K444" s="3" t="s">
        <v>6316</v>
      </c>
      <c r="L444" s="8" t="str">
        <f>HYPERLINK("http://slimages.macys.com/is/image/MCY/15899025 ")</f>
        <v xml:space="preserve">http://slimages.macys.com/is/image/MCY/15899025 </v>
      </c>
    </row>
    <row r="445" spans="1:12" ht="24.75" x14ac:dyDescent="0.25">
      <c r="A445" s="6" t="s">
        <v>6707</v>
      </c>
      <c r="B445" s="3" t="s">
        <v>6708</v>
      </c>
      <c r="C445" s="4">
        <v>1</v>
      </c>
      <c r="D445" s="5">
        <v>19.989999999999998</v>
      </c>
      <c r="E445" s="4">
        <v>10007798500</v>
      </c>
      <c r="F445" s="3" t="s">
        <v>5578</v>
      </c>
      <c r="G445" s="7" t="s">
        <v>6252</v>
      </c>
      <c r="H445" s="3" t="s">
        <v>6652</v>
      </c>
      <c r="I445" s="3" t="s">
        <v>6681</v>
      </c>
      <c r="J445" s="3" t="s">
        <v>5536</v>
      </c>
      <c r="K445" s="3" t="s">
        <v>6316</v>
      </c>
      <c r="L445" s="8" t="str">
        <f>HYPERLINK("http://slimages.macys.com/is/image/MCY/15188532 ")</f>
        <v xml:space="preserve">http://slimages.macys.com/is/image/MCY/15188532 </v>
      </c>
    </row>
    <row r="446" spans="1:12" ht="24.75" x14ac:dyDescent="0.25">
      <c r="A446" s="6" t="s">
        <v>6709</v>
      </c>
      <c r="B446" s="3" t="s">
        <v>6710</v>
      </c>
      <c r="C446" s="4">
        <v>1</v>
      </c>
      <c r="D446" s="5">
        <v>19.989999999999998</v>
      </c>
      <c r="E446" s="4">
        <v>10005868600</v>
      </c>
      <c r="F446" s="3" t="s">
        <v>5661</v>
      </c>
      <c r="G446" s="7" t="s">
        <v>6252</v>
      </c>
      <c r="H446" s="3" t="s">
        <v>6652</v>
      </c>
      <c r="I446" s="3" t="s">
        <v>6686</v>
      </c>
      <c r="J446" s="3" t="s">
        <v>5536</v>
      </c>
      <c r="K446" s="3" t="s">
        <v>6338</v>
      </c>
      <c r="L446" s="8" t="str">
        <f>HYPERLINK("http://slimages.macys.com/is/image/MCY/14365771 ")</f>
        <v xml:space="preserve">http://slimages.macys.com/is/image/MCY/14365771 </v>
      </c>
    </row>
    <row r="447" spans="1:12" ht="24.75" x14ac:dyDescent="0.25">
      <c r="A447" s="6" t="s">
        <v>6711</v>
      </c>
      <c r="B447" s="3" t="s">
        <v>6712</v>
      </c>
      <c r="C447" s="4">
        <v>1</v>
      </c>
      <c r="D447" s="5">
        <v>19.989999999999998</v>
      </c>
      <c r="E447" s="4">
        <v>10005868600</v>
      </c>
      <c r="F447" s="3" t="s">
        <v>6217</v>
      </c>
      <c r="G447" s="7" t="s">
        <v>6252</v>
      </c>
      <c r="H447" s="3" t="s">
        <v>6652</v>
      </c>
      <c r="I447" s="3" t="s">
        <v>6686</v>
      </c>
      <c r="J447" s="3" t="s">
        <v>5536</v>
      </c>
      <c r="K447" s="3" t="s">
        <v>6338</v>
      </c>
      <c r="L447" s="8" t="str">
        <f>HYPERLINK("http://slimages.macys.com/is/image/MCY/11762212 ")</f>
        <v xml:space="preserve">http://slimages.macys.com/is/image/MCY/11762212 </v>
      </c>
    </row>
    <row r="448" spans="1:12" ht="24.75" x14ac:dyDescent="0.25">
      <c r="A448" s="6" t="s">
        <v>6713</v>
      </c>
      <c r="B448" s="3" t="s">
        <v>6714</v>
      </c>
      <c r="C448" s="4">
        <v>1</v>
      </c>
      <c r="D448" s="5">
        <v>19.989999999999998</v>
      </c>
      <c r="E448" s="4">
        <v>10007022800</v>
      </c>
      <c r="F448" s="3" t="s">
        <v>6335</v>
      </c>
      <c r="G448" s="7" t="s">
        <v>6252</v>
      </c>
      <c r="H448" s="3" t="s">
        <v>6652</v>
      </c>
      <c r="I448" s="3" t="s">
        <v>6681</v>
      </c>
      <c r="J448" s="3" t="s">
        <v>5536</v>
      </c>
      <c r="K448" s="3" t="s">
        <v>6338</v>
      </c>
      <c r="L448" s="8" t="str">
        <f>HYPERLINK("http://slimages.macys.com/is/image/MCY/13050563 ")</f>
        <v xml:space="preserve">http://slimages.macys.com/is/image/MCY/13050563 </v>
      </c>
    </row>
    <row r="449" spans="1:12" ht="24.75" x14ac:dyDescent="0.25">
      <c r="A449" s="6" t="s">
        <v>6715</v>
      </c>
      <c r="B449" s="3" t="s">
        <v>6657</v>
      </c>
      <c r="C449" s="4">
        <v>1</v>
      </c>
      <c r="D449" s="5">
        <v>19.989999999999998</v>
      </c>
      <c r="E449" s="4">
        <v>10008582700</v>
      </c>
      <c r="F449" s="3" t="s">
        <v>5661</v>
      </c>
      <c r="G449" s="7" t="s">
        <v>6252</v>
      </c>
      <c r="H449" s="3" t="s">
        <v>6652</v>
      </c>
      <c r="I449" s="3" t="s">
        <v>6681</v>
      </c>
      <c r="J449" s="3" t="s">
        <v>5536</v>
      </c>
      <c r="K449" s="3" t="s">
        <v>6316</v>
      </c>
      <c r="L449" s="8" t="str">
        <f>HYPERLINK("http://slimages.macys.com/is/image/MCY/15611837 ")</f>
        <v xml:space="preserve">http://slimages.macys.com/is/image/MCY/15611837 </v>
      </c>
    </row>
    <row r="450" spans="1:12" ht="24.75" x14ac:dyDescent="0.25">
      <c r="A450" s="6" t="s">
        <v>6716</v>
      </c>
      <c r="B450" s="3" t="s">
        <v>6717</v>
      </c>
      <c r="C450" s="4">
        <v>1</v>
      </c>
      <c r="D450" s="5">
        <v>19.989999999999998</v>
      </c>
      <c r="E450" s="4">
        <v>10007797300</v>
      </c>
      <c r="F450" s="3" t="s">
        <v>5964</v>
      </c>
      <c r="G450" s="7" t="s">
        <v>6252</v>
      </c>
      <c r="H450" s="3" t="s">
        <v>6652</v>
      </c>
      <c r="I450" s="3" t="s">
        <v>6686</v>
      </c>
      <c r="J450" s="3" t="s">
        <v>5536</v>
      </c>
      <c r="K450" s="3" t="s">
        <v>6316</v>
      </c>
      <c r="L450" s="8" t="str">
        <f>HYPERLINK("http://slimages.macys.com/is/image/MCY/13936405 ")</f>
        <v xml:space="preserve">http://slimages.macys.com/is/image/MCY/13936405 </v>
      </c>
    </row>
    <row r="451" spans="1:12" ht="24.75" x14ac:dyDescent="0.25">
      <c r="A451" s="6" t="s">
        <v>6718</v>
      </c>
      <c r="B451" s="3" t="s">
        <v>6719</v>
      </c>
      <c r="C451" s="4">
        <v>1</v>
      </c>
      <c r="D451" s="5">
        <v>19.989999999999998</v>
      </c>
      <c r="E451" s="4">
        <v>10006040300</v>
      </c>
      <c r="F451" s="3" t="s">
        <v>5661</v>
      </c>
      <c r="G451" s="7" t="s">
        <v>6252</v>
      </c>
      <c r="H451" s="3" t="s">
        <v>6652</v>
      </c>
      <c r="I451" s="3" t="s">
        <v>6681</v>
      </c>
      <c r="J451" s="3" t="s">
        <v>5536</v>
      </c>
      <c r="K451" s="3" t="s">
        <v>6338</v>
      </c>
      <c r="L451" s="8" t="str">
        <f>HYPERLINK("http://slimages.macys.com/is/image/MCY/11607471 ")</f>
        <v xml:space="preserve">http://slimages.macys.com/is/image/MCY/11607471 </v>
      </c>
    </row>
    <row r="452" spans="1:12" ht="24.75" x14ac:dyDescent="0.25">
      <c r="A452" s="6" t="s">
        <v>6720</v>
      </c>
      <c r="B452" s="3" t="s">
        <v>6717</v>
      </c>
      <c r="C452" s="4">
        <v>2</v>
      </c>
      <c r="D452" s="5">
        <v>39.979999999999997</v>
      </c>
      <c r="E452" s="4">
        <v>10007797300</v>
      </c>
      <c r="F452" s="3" t="s">
        <v>5552</v>
      </c>
      <c r="G452" s="7" t="s">
        <v>6252</v>
      </c>
      <c r="H452" s="3" t="s">
        <v>6652</v>
      </c>
      <c r="I452" s="3" t="s">
        <v>6686</v>
      </c>
      <c r="J452" s="3" t="s">
        <v>5536</v>
      </c>
      <c r="K452" s="3" t="s">
        <v>6316</v>
      </c>
      <c r="L452" s="8" t="str">
        <f>HYPERLINK("http://slimages.macys.com/is/image/MCY/13936405 ")</f>
        <v xml:space="preserve">http://slimages.macys.com/is/image/MCY/13936405 </v>
      </c>
    </row>
    <row r="453" spans="1:12" ht="24.75" x14ac:dyDescent="0.25">
      <c r="A453" s="6" t="s">
        <v>6721</v>
      </c>
      <c r="B453" s="3" t="s">
        <v>6722</v>
      </c>
      <c r="C453" s="4">
        <v>1</v>
      </c>
      <c r="D453" s="5">
        <v>19.989999999999998</v>
      </c>
      <c r="E453" s="4">
        <v>10007797100</v>
      </c>
      <c r="F453" s="3" t="s">
        <v>5625</v>
      </c>
      <c r="G453" s="7" t="s">
        <v>6252</v>
      </c>
      <c r="H453" s="3" t="s">
        <v>6652</v>
      </c>
      <c r="I453" s="3" t="s">
        <v>6686</v>
      </c>
      <c r="J453" s="3" t="s">
        <v>5536</v>
      </c>
      <c r="K453" s="3" t="s">
        <v>6316</v>
      </c>
      <c r="L453" s="8" t="str">
        <f>HYPERLINK("http://slimages.macys.com/is/image/MCY/13936361 ")</f>
        <v xml:space="preserve">http://slimages.macys.com/is/image/MCY/13936361 </v>
      </c>
    </row>
    <row r="454" spans="1:12" ht="24.75" x14ac:dyDescent="0.25">
      <c r="A454" s="6" t="s">
        <v>6723</v>
      </c>
      <c r="B454" s="3" t="s">
        <v>6724</v>
      </c>
      <c r="C454" s="4">
        <v>1</v>
      </c>
      <c r="D454" s="5">
        <v>19.989999999999998</v>
      </c>
      <c r="E454" s="4">
        <v>10008452300</v>
      </c>
      <c r="F454" s="3" t="s">
        <v>5532</v>
      </c>
      <c r="G454" s="7" t="s">
        <v>6252</v>
      </c>
      <c r="H454" s="3" t="s">
        <v>6652</v>
      </c>
      <c r="I454" s="3" t="s">
        <v>6686</v>
      </c>
      <c r="J454" s="3" t="s">
        <v>5536</v>
      </c>
      <c r="K454" s="3" t="s">
        <v>6316</v>
      </c>
      <c r="L454" s="8" t="str">
        <f>HYPERLINK("http://slimages.macys.com/is/image/MCY/15362437 ")</f>
        <v xml:space="preserve">http://slimages.macys.com/is/image/MCY/15362437 </v>
      </c>
    </row>
    <row r="455" spans="1:12" ht="24.75" x14ac:dyDescent="0.25">
      <c r="A455" s="6" t="s">
        <v>6725</v>
      </c>
      <c r="B455" s="3" t="s">
        <v>6726</v>
      </c>
      <c r="C455" s="4">
        <v>1</v>
      </c>
      <c r="D455" s="5">
        <v>19.989999999999998</v>
      </c>
      <c r="E455" s="4">
        <v>10006793100</v>
      </c>
      <c r="F455" s="3" t="s">
        <v>5532</v>
      </c>
      <c r="G455" s="7" t="s">
        <v>6252</v>
      </c>
      <c r="H455" s="3" t="s">
        <v>6652</v>
      </c>
      <c r="I455" s="3" t="s">
        <v>6686</v>
      </c>
      <c r="J455" s="3" t="s">
        <v>5536</v>
      </c>
      <c r="K455" s="3" t="s">
        <v>6338</v>
      </c>
      <c r="L455" s="8" t="str">
        <f>HYPERLINK("http://slimages.macys.com/is/image/MCY/12712313 ")</f>
        <v xml:space="preserve">http://slimages.macys.com/is/image/MCY/12712313 </v>
      </c>
    </row>
    <row r="456" spans="1:12" ht="24.75" x14ac:dyDescent="0.25">
      <c r="A456" s="6" t="s">
        <v>6727</v>
      </c>
      <c r="B456" s="3" t="s">
        <v>6688</v>
      </c>
      <c r="C456" s="4">
        <v>3</v>
      </c>
      <c r="D456" s="5">
        <v>59.97</v>
      </c>
      <c r="E456" s="4">
        <v>10008575200</v>
      </c>
      <c r="F456" s="3" t="s">
        <v>5625</v>
      </c>
      <c r="G456" s="7" t="s">
        <v>6252</v>
      </c>
      <c r="H456" s="3" t="s">
        <v>6652</v>
      </c>
      <c r="I456" s="3" t="s">
        <v>6686</v>
      </c>
      <c r="J456" s="3" t="s">
        <v>5536</v>
      </c>
      <c r="K456" s="3" t="s">
        <v>6316</v>
      </c>
      <c r="L456" s="8" t="str">
        <f>HYPERLINK("http://slimages.macys.com/is/image/MCY/15899484 ")</f>
        <v xml:space="preserve">http://slimages.macys.com/is/image/MCY/15899484 </v>
      </c>
    </row>
    <row r="457" spans="1:12" ht="24.75" x14ac:dyDescent="0.25">
      <c r="A457" s="6" t="s">
        <v>6728</v>
      </c>
      <c r="B457" s="3" t="s">
        <v>6729</v>
      </c>
      <c r="C457" s="4">
        <v>2</v>
      </c>
      <c r="D457" s="5">
        <v>39.979999999999997</v>
      </c>
      <c r="E457" s="4">
        <v>10006895800</v>
      </c>
      <c r="F457" s="3" t="s">
        <v>6335</v>
      </c>
      <c r="G457" s="7" t="s">
        <v>6252</v>
      </c>
      <c r="H457" s="3" t="s">
        <v>6652</v>
      </c>
      <c r="I457" s="3" t="s">
        <v>6681</v>
      </c>
      <c r="J457" s="3" t="s">
        <v>5536</v>
      </c>
      <c r="K457" s="3" t="s">
        <v>6338</v>
      </c>
      <c r="L457" s="8" t="str">
        <f>HYPERLINK("http://slimages.macys.com/is/image/MCY/13287576 ")</f>
        <v xml:space="preserve">http://slimages.macys.com/is/image/MCY/13287576 </v>
      </c>
    </row>
    <row r="458" spans="1:12" ht="24.75" x14ac:dyDescent="0.25">
      <c r="A458" s="6" t="s">
        <v>6730</v>
      </c>
      <c r="B458" s="3" t="s">
        <v>6731</v>
      </c>
      <c r="C458" s="4">
        <v>2</v>
      </c>
      <c r="D458" s="5">
        <v>39.979999999999997</v>
      </c>
      <c r="E458" s="4">
        <v>10008576100</v>
      </c>
      <c r="F458" s="3" t="s">
        <v>5552</v>
      </c>
      <c r="G458" s="7" t="s">
        <v>6252</v>
      </c>
      <c r="H458" s="3" t="s">
        <v>6652</v>
      </c>
      <c r="I458" s="3" t="s">
        <v>6686</v>
      </c>
      <c r="J458" s="3" t="s">
        <v>5536</v>
      </c>
      <c r="K458" s="3" t="s">
        <v>6316</v>
      </c>
      <c r="L458" s="8" t="str">
        <f>HYPERLINK("http://slimages.macys.com/is/image/MCY/15612024 ")</f>
        <v xml:space="preserve">http://slimages.macys.com/is/image/MCY/15612024 </v>
      </c>
    </row>
    <row r="459" spans="1:12" ht="24.75" x14ac:dyDescent="0.25">
      <c r="A459" s="6" t="s">
        <v>6732</v>
      </c>
      <c r="B459" s="3" t="s">
        <v>6733</v>
      </c>
      <c r="C459" s="4">
        <v>1</v>
      </c>
      <c r="D459" s="5">
        <v>19.989999999999998</v>
      </c>
      <c r="E459" s="4">
        <v>10006134800</v>
      </c>
      <c r="F459" s="3" t="s">
        <v>5625</v>
      </c>
      <c r="G459" s="7" t="s">
        <v>6252</v>
      </c>
      <c r="H459" s="3" t="s">
        <v>6652</v>
      </c>
      <c r="I459" s="3" t="s">
        <v>6681</v>
      </c>
      <c r="J459" s="3" t="s">
        <v>5536</v>
      </c>
      <c r="K459" s="3" t="s">
        <v>6316</v>
      </c>
      <c r="L459" s="8" t="str">
        <f>HYPERLINK("http://slimages.macys.com/is/image/MCY/11831628 ")</f>
        <v xml:space="preserve">http://slimages.macys.com/is/image/MCY/11831628 </v>
      </c>
    </row>
    <row r="460" spans="1:12" ht="24.75" x14ac:dyDescent="0.25">
      <c r="A460" s="6" t="s">
        <v>6734</v>
      </c>
      <c r="B460" s="3" t="s">
        <v>6688</v>
      </c>
      <c r="C460" s="4">
        <v>4</v>
      </c>
      <c r="D460" s="5">
        <v>79.959999999999994</v>
      </c>
      <c r="E460" s="4">
        <v>10008575200</v>
      </c>
      <c r="F460" s="3" t="s">
        <v>5532</v>
      </c>
      <c r="G460" s="7" t="s">
        <v>6252</v>
      </c>
      <c r="H460" s="3" t="s">
        <v>6652</v>
      </c>
      <c r="I460" s="3" t="s">
        <v>6686</v>
      </c>
      <c r="J460" s="3" t="s">
        <v>5536</v>
      </c>
      <c r="K460" s="3" t="s">
        <v>6316</v>
      </c>
      <c r="L460" s="8" t="str">
        <f>HYPERLINK("http://slimages.macys.com/is/image/MCY/15899484 ")</f>
        <v xml:space="preserve">http://slimages.macys.com/is/image/MCY/15899484 </v>
      </c>
    </row>
    <row r="461" spans="1:12" ht="24.75" x14ac:dyDescent="0.25">
      <c r="A461" s="6" t="s">
        <v>6735</v>
      </c>
      <c r="B461" s="3" t="s">
        <v>6736</v>
      </c>
      <c r="C461" s="4">
        <v>2</v>
      </c>
      <c r="D461" s="5">
        <v>39.979999999999997</v>
      </c>
      <c r="E461" s="4">
        <v>10006134800</v>
      </c>
      <c r="F461" s="3" t="s">
        <v>6335</v>
      </c>
      <c r="G461" s="7" t="s">
        <v>6252</v>
      </c>
      <c r="H461" s="3" t="s">
        <v>6652</v>
      </c>
      <c r="I461" s="3" t="s">
        <v>6681</v>
      </c>
      <c r="J461" s="3" t="s">
        <v>5536</v>
      </c>
      <c r="K461" s="3" t="s">
        <v>6316</v>
      </c>
      <c r="L461" s="8" t="str">
        <f>HYPERLINK("http://slimages.macys.com/is/image/MCY/11831631 ")</f>
        <v xml:space="preserve">http://slimages.macys.com/is/image/MCY/11831631 </v>
      </c>
    </row>
    <row r="462" spans="1:12" ht="24.75" x14ac:dyDescent="0.25">
      <c r="A462" s="6" t="s">
        <v>6737</v>
      </c>
      <c r="B462" s="3" t="s">
        <v>6738</v>
      </c>
      <c r="C462" s="4">
        <v>2</v>
      </c>
      <c r="D462" s="5">
        <v>39.979999999999997</v>
      </c>
      <c r="E462" s="4">
        <v>10006040100</v>
      </c>
      <c r="F462" s="3" t="s">
        <v>6739</v>
      </c>
      <c r="G462" s="7" t="s">
        <v>6252</v>
      </c>
      <c r="H462" s="3" t="s">
        <v>6652</v>
      </c>
      <c r="I462" s="3" t="s">
        <v>6681</v>
      </c>
      <c r="J462" s="3" t="s">
        <v>5536</v>
      </c>
      <c r="K462" s="3" t="s">
        <v>6338</v>
      </c>
      <c r="L462" s="8" t="str">
        <f>HYPERLINK("http://slimages.macys.com/is/image/MCY/11464877 ")</f>
        <v xml:space="preserve">http://slimages.macys.com/is/image/MCY/11464877 </v>
      </c>
    </row>
    <row r="463" spans="1:12" ht="24.75" x14ac:dyDescent="0.25">
      <c r="A463" s="6" t="s">
        <v>6740</v>
      </c>
      <c r="B463" s="3" t="s">
        <v>6717</v>
      </c>
      <c r="C463" s="4">
        <v>2</v>
      </c>
      <c r="D463" s="5">
        <v>39.979999999999997</v>
      </c>
      <c r="E463" s="4">
        <v>10007797300</v>
      </c>
      <c r="F463" s="3" t="s">
        <v>5532</v>
      </c>
      <c r="G463" s="7" t="s">
        <v>6252</v>
      </c>
      <c r="H463" s="3" t="s">
        <v>6652</v>
      </c>
      <c r="I463" s="3" t="s">
        <v>6686</v>
      </c>
      <c r="J463" s="3" t="s">
        <v>5536</v>
      </c>
      <c r="K463" s="3" t="s">
        <v>6316</v>
      </c>
      <c r="L463" s="8" t="str">
        <f>HYPERLINK("http://slimages.macys.com/is/image/MCY/13936405 ")</f>
        <v xml:space="preserve">http://slimages.macys.com/is/image/MCY/13936405 </v>
      </c>
    </row>
    <row r="464" spans="1:12" ht="24.75" x14ac:dyDescent="0.25">
      <c r="A464" s="6" t="s">
        <v>6741</v>
      </c>
      <c r="B464" s="3" t="s">
        <v>6657</v>
      </c>
      <c r="C464" s="4">
        <v>3</v>
      </c>
      <c r="D464" s="5">
        <v>59.97</v>
      </c>
      <c r="E464" s="4">
        <v>10008582700</v>
      </c>
      <c r="F464" s="3" t="s">
        <v>5625</v>
      </c>
      <c r="G464" s="7" t="s">
        <v>6252</v>
      </c>
      <c r="H464" s="3" t="s">
        <v>6652</v>
      </c>
      <c r="I464" s="3" t="s">
        <v>6681</v>
      </c>
      <c r="J464" s="3" t="s">
        <v>5536</v>
      </c>
      <c r="K464" s="3" t="s">
        <v>6316</v>
      </c>
      <c r="L464" s="8" t="str">
        <f>HYPERLINK("http://slimages.macys.com/is/image/MCY/15611837 ")</f>
        <v xml:space="preserve">http://slimages.macys.com/is/image/MCY/15611837 </v>
      </c>
    </row>
    <row r="465" spans="1:12" ht="24.75" x14ac:dyDescent="0.25">
      <c r="A465" s="6" t="s">
        <v>6742</v>
      </c>
      <c r="B465" s="3" t="s">
        <v>6743</v>
      </c>
      <c r="C465" s="4">
        <v>1</v>
      </c>
      <c r="D465" s="5">
        <v>19.989999999999998</v>
      </c>
      <c r="E465" s="4">
        <v>10008582300</v>
      </c>
      <c r="F465" s="3" t="s">
        <v>5540</v>
      </c>
      <c r="G465" s="7" t="s">
        <v>6252</v>
      </c>
      <c r="H465" s="3" t="s">
        <v>6652</v>
      </c>
      <c r="I465" s="3" t="s">
        <v>6681</v>
      </c>
      <c r="J465" s="3" t="s">
        <v>5536</v>
      </c>
      <c r="K465" s="3" t="s">
        <v>6316</v>
      </c>
      <c r="L465" s="8" t="str">
        <f>HYPERLINK("http://slimages.macys.com/is/image/MCY/15925380 ")</f>
        <v xml:space="preserve">http://slimages.macys.com/is/image/MCY/15925380 </v>
      </c>
    </row>
    <row r="466" spans="1:12" ht="24.75" x14ac:dyDescent="0.25">
      <c r="A466" s="6" t="s">
        <v>6744</v>
      </c>
      <c r="B466" s="3" t="s">
        <v>6722</v>
      </c>
      <c r="C466" s="4">
        <v>1</v>
      </c>
      <c r="D466" s="5">
        <v>19.989999999999998</v>
      </c>
      <c r="E466" s="4">
        <v>10007797100</v>
      </c>
      <c r="F466" s="3" t="s">
        <v>5552</v>
      </c>
      <c r="G466" s="7" t="s">
        <v>6252</v>
      </c>
      <c r="H466" s="3" t="s">
        <v>6652</v>
      </c>
      <c r="I466" s="3" t="s">
        <v>6686</v>
      </c>
      <c r="J466" s="3" t="s">
        <v>5536</v>
      </c>
      <c r="K466" s="3" t="s">
        <v>6316</v>
      </c>
      <c r="L466" s="8" t="str">
        <f>HYPERLINK("http://slimages.macys.com/is/image/MCY/13936361 ")</f>
        <v xml:space="preserve">http://slimages.macys.com/is/image/MCY/13936361 </v>
      </c>
    </row>
    <row r="467" spans="1:12" ht="24.75" x14ac:dyDescent="0.25">
      <c r="A467" s="6" t="s">
        <v>6745</v>
      </c>
      <c r="B467" s="3" t="s">
        <v>6688</v>
      </c>
      <c r="C467" s="4">
        <v>1</v>
      </c>
      <c r="D467" s="5">
        <v>19.989999999999998</v>
      </c>
      <c r="E467" s="4">
        <v>10008575200</v>
      </c>
      <c r="F467" s="3" t="s">
        <v>5661</v>
      </c>
      <c r="G467" s="7" t="s">
        <v>6252</v>
      </c>
      <c r="H467" s="3" t="s">
        <v>6652</v>
      </c>
      <c r="I467" s="3" t="s">
        <v>6686</v>
      </c>
      <c r="J467" s="3" t="s">
        <v>5536</v>
      </c>
      <c r="K467" s="3" t="s">
        <v>6316</v>
      </c>
      <c r="L467" s="8" t="str">
        <f>HYPERLINK("http://slimages.macys.com/is/image/MCY/15899484 ")</f>
        <v xml:space="preserve">http://slimages.macys.com/is/image/MCY/15899484 </v>
      </c>
    </row>
    <row r="468" spans="1:12" ht="24.75" x14ac:dyDescent="0.25">
      <c r="A468" s="6" t="s">
        <v>6746</v>
      </c>
      <c r="B468" s="3" t="s">
        <v>6747</v>
      </c>
      <c r="C468" s="4">
        <v>1</v>
      </c>
      <c r="D468" s="5">
        <v>19.989999999999998</v>
      </c>
      <c r="E468" s="4">
        <v>10007022700</v>
      </c>
      <c r="F468" s="3" t="s">
        <v>5532</v>
      </c>
      <c r="G468" s="7" t="s">
        <v>6252</v>
      </c>
      <c r="H468" s="3" t="s">
        <v>6652</v>
      </c>
      <c r="I468" s="3" t="s">
        <v>6681</v>
      </c>
      <c r="J468" s="3" t="s">
        <v>5536</v>
      </c>
      <c r="K468" s="3" t="s">
        <v>6748</v>
      </c>
      <c r="L468" s="8" t="str">
        <f>HYPERLINK("http://slimages.macys.com/is/image/MCY/13287456 ")</f>
        <v xml:space="preserve">http://slimages.macys.com/is/image/MCY/13287456 </v>
      </c>
    </row>
    <row r="469" spans="1:12" ht="24.75" x14ac:dyDescent="0.25">
      <c r="A469" s="6" t="s">
        <v>6749</v>
      </c>
      <c r="B469" s="3" t="s">
        <v>6750</v>
      </c>
      <c r="C469" s="4">
        <v>1</v>
      </c>
      <c r="D469" s="5">
        <v>20</v>
      </c>
      <c r="E469" s="4" t="s">
        <v>6751</v>
      </c>
      <c r="F469" s="3" t="s">
        <v>5532</v>
      </c>
      <c r="G469" s="7" t="s">
        <v>5562</v>
      </c>
      <c r="H469" s="3" t="s">
        <v>6492</v>
      </c>
      <c r="I469" s="3" t="s">
        <v>6604</v>
      </c>
      <c r="J469" s="3" t="s">
        <v>5536</v>
      </c>
      <c r="K469" s="3" t="s">
        <v>5549</v>
      </c>
      <c r="L469" s="8" t="str">
        <f>HYPERLINK("http://slimages.macys.com/is/image/MCY/15851384 ")</f>
        <v xml:space="preserve">http://slimages.macys.com/is/image/MCY/15851384 </v>
      </c>
    </row>
    <row r="470" spans="1:12" ht="24.75" x14ac:dyDescent="0.25">
      <c r="A470" s="6" t="s">
        <v>6752</v>
      </c>
      <c r="B470" s="3" t="s">
        <v>6753</v>
      </c>
      <c r="C470" s="4">
        <v>1</v>
      </c>
      <c r="D470" s="5">
        <v>20</v>
      </c>
      <c r="E470" s="4" t="s">
        <v>6754</v>
      </c>
      <c r="F470" s="3" t="s">
        <v>5540</v>
      </c>
      <c r="G470" s="7" t="s">
        <v>5560</v>
      </c>
      <c r="H470" s="3" t="s">
        <v>6492</v>
      </c>
      <c r="I470" s="3" t="s">
        <v>6604</v>
      </c>
      <c r="J470" s="3" t="s">
        <v>5536</v>
      </c>
      <c r="K470" s="3" t="s">
        <v>5594</v>
      </c>
      <c r="L470" s="8" t="str">
        <f>HYPERLINK("http://slimages.macys.com/is/image/MCY/15434294 ")</f>
        <v xml:space="preserve">http://slimages.macys.com/is/image/MCY/15434294 </v>
      </c>
    </row>
    <row r="471" spans="1:12" x14ac:dyDescent="0.25">
      <c r="A471" s="6" t="s">
        <v>6755</v>
      </c>
      <c r="B471" s="3" t="s">
        <v>6756</v>
      </c>
      <c r="C471" s="4">
        <v>1</v>
      </c>
      <c r="D471" s="5">
        <v>19.989999999999998</v>
      </c>
      <c r="E471" s="4" t="s">
        <v>6757</v>
      </c>
      <c r="F471" s="3" t="s">
        <v>5783</v>
      </c>
      <c r="G471" s="7" t="s">
        <v>5562</v>
      </c>
      <c r="H471" s="3" t="s">
        <v>6003</v>
      </c>
      <c r="I471" s="3" t="s">
        <v>6004</v>
      </c>
      <c r="J471" s="3" t="s">
        <v>5536</v>
      </c>
      <c r="K471" s="3" t="s">
        <v>5594</v>
      </c>
      <c r="L471" s="8" t="str">
        <f>HYPERLINK("http://slimages.macys.com/is/image/MCY/14412211 ")</f>
        <v xml:space="preserve">http://slimages.macys.com/is/image/MCY/14412211 </v>
      </c>
    </row>
    <row r="472" spans="1:12" ht="24.75" x14ac:dyDescent="0.25">
      <c r="A472" s="6" t="s">
        <v>6758</v>
      </c>
      <c r="B472" s="3" t="s">
        <v>6759</v>
      </c>
      <c r="C472" s="4">
        <v>1</v>
      </c>
      <c r="D472" s="5">
        <v>29.99</v>
      </c>
      <c r="E472" s="4" t="s">
        <v>6760</v>
      </c>
      <c r="F472" s="3" t="s">
        <v>5887</v>
      </c>
      <c r="G472" s="7" t="s">
        <v>5560</v>
      </c>
      <c r="H472" s="3" t="s">
        <v>6522</v>
      </c>
      <c r="I472" s="3" t="s">
        <v>6523</v>
      </c>
      <c r="J472" s="3" t="s">
        <v>5536</v>
      </c>
      <c r="K472" s="3" t="s">
        <v>5727</v>
      </c>
      <c r="L472" s="8" t="str">
        <f>HYPERLINK("http://slimages.macys.com/is/image/MCY/12278870 ")</f>
        <v xml:space="preserve">http://slimages.macys.com/is/image/MCY/12278870 </v>
      </c>
    </row>
    <row r="473" spans="1:12" ht="60.75" x14ac:dyDescent="0.25">
      <c r="A473" s="6" t="s">
        <v>6761</v>
      </c>
      <c r="B473" s="3" t="s">
        <v>6762</v>
      </c>
      <c r="C473" s="4">
        <v>1</v>
      </c>
      <c r="D473" s="5">
        <v>30</v>
      </c>
      <c r="E473" s="4" t="s">
        <v>6763</v>
      </c>
      <c r="F473" s="3" t="s">
        <v>5977</v>
      </c>
      <c r="G473" s="7" t="s">
        <v>5560</v>
      </c>
      <c r="H473" s="3" t="s">
        <v>6019</v>
      </c>
      <c r="I473" s="3" t="s">
        <v>6020</v>
      </c>
      <c r="J473" s="3" t="s">
        <v>5536</v>
      </c>
      <c r="K473" s="3" t="s">
        <v>6764</v>
      </c>
      <c r="L473" s="8" t="str">
        <f>HYPERLINK("http://slimages.macys.com/is/image/MCY/14616807 ")</f>
        <v xml:space="preserve">http://slimages.macys.com/is/image/MCY/14616807 </v>
      </c>
    </row>
    <row r="474" spans="1:12" ht="60.75" x14ac:dyDescent="0.25">
      <c r="A474" s="6" t="s">
        <v>6765</v>
      </c>
      <c r="B474" s="3" t="s">
        <v>6762</v>
      </c>
      <c r="C474" s="4">
        <v>1</v>
      </c>
      <c r="D474" s="5">
        <v>30</v>
      </c>
      <c r="E474" s="4" t="s">
        <v>6763</v>
      </c>
      <c r="F474" s="3" t="s">
        <v>5745</v>
      </c>
      <c r="G474" s="7" t="s">
        <v>5560</v>
      </c>
      <c r="H474" s="3" t="s">
        <v>6019</v>
      </c>
      <c r="I474" s="3" t="s">
        <v>6020</v>
      </c>
      <c r="J474" s="3" t="s">
        <v>5536</v>
      </c>
      <c r="K474" s="3" t="s">
        <v>6764</v>
      </c>
      <c r="L474" s="8" t="str">
        <f>HYPERLINK("http://slimages.macys.com/is/image/MCY/14616807 ")</f>
        <v xml:space="preserve">http://slimages.macys.com/is/image/MCY/14616807 </v>
      </c>
    </row>
    <row r="475" spans="1:12" x14ac:dyDescent="0.25">
      <c r="A475" s="6" t="s">
        <v>6766</v>
      </c>
      <c r="B475" s="3" t="s">
        <v>6767</v>
      </c>
      <c r="C475" s="4">
        <v>1</v>
      </c>
      <c r="D475" s="5">
        <v>24.99</v>
      </c>
      <c r="E475" s="4" t="s">
        <v>6768</v>
      </c>
      <c r="F475" s="3" t="s">
        <v>5754</v>
      </c>
      <c r="G475" s="7" t="s">
        <v>5596</v>
      </c>
      <c r="H475" s="3" t="s">
        <v>6003</v>
      </c>
      <c r="I475" s="3" t="s">
        <v>6004</v>
      </c>
      <c r="J475" s="3" t="s">
        <v>5536</v>
      </c>
      <c r="K475" s="3" t="s">
        <v>5594</v>
      </c>
      <c r="L475" s="8" t="str">
        <f>HYPERLINK("http://slimages.macys.com/is/image/MCY/14456412 ")</f>
        <v xml:space="preserve">http://slimages.macys.com/is/image/MCY/14456412 </v>
      </c>
    </row>
    <row r="476" spans="1:12" ht="24.75" x14ac:dyDescent="0.25">
      <c r="A476" s="6" t="s">
        <v>6769</v>
      </c>
      <c r="B476" s="3" t="s">
        <v>6770</v>
      </c>
      <c r="C476" s="4">
        <v>1</v>
      </c>
      <c r="D476" s="5">
        <v>16.25</v>
      </c>
      <c r="E476" s="4" t="s">
        <v>6771</v>
      </c>
      <c r="F476" s="3" t="s">
        <v>5540</v>
      </c>
      <c r="G476" s="7" t="s">
        <v>6772</v>
      </c>
      <c r="H476" s="3" t="s">
        <v>5842</v>
      </c>
      <c r="I476" s="3" t="s">
        <v>6773</v>
      </c>
      <c r="J476" s="3" t="s">
        <v>5536</v>
      </c>
      <c r="K476" s="3" t="s">
        <v>6774</v>
      </c>
      <c r="L476" s="8" t="str">
        <f>HYPERLINK("http://slimages.macys.com/is/image/MCY/14536305 ")</f>
        <v xml:space="preserve">http://slimages.macys.com/is/image/MCY/14536305 </v>
      </c>
    </row>
    <row r="477" spans="1:12" ht="24.75" x14ac:dyDescent="0.25">
      <c r="A477" s="6" t="s">
        <v>6775</v>
      </c>
      <c r="B477" s="3" t="s">
        <v>6770</v>
      </c>
      <c r="C477" s="4">
        <v>5</v>
      </c>
      <c r="D477" s="5">
        <v>81.25</v>
      </c>
      <c r="E477" s="4" t="s">
        <v>6771</v>
      </c>
      <c r="F477" s="3" t="s">
        <v>5540</v>
      </c>
      <c r="G477" s="7" t="s">
        <v>6776</v>
      </c>
      <c r="H477" s="3" t="s">
        <v>5842</v>
      </c>
      <c r="I477" s="3" t="s">
        <v>6773</v>
      </c>
      <c r="J477" s="3" t="s">
        <v>5536</v>
      </c>
      <c r="K477" s="3" t="s">
        <v>6774</v>
      </c>
      <c r="L477" s="8" t="str">
        <f>HYPERLINK("http://slimages.macys.com/is/image/MCY/14536305 ")</f>
        <v xml:space="preserve">http://slimages.macys.com/is/image/MCY/14536305 </v>
      </c>
    </row>
    <row r="478" spans="1:12" ht="24.75" x14ac:dyDescent="0.25">
      <c r="A478" s="6" t="s">
        <v>6777</v>
      </c>
      <c r="B478" s="3" t="s">
        <v>6770</v>
      </c>
      <c r="C478" s="4">
        <v>1</v>
      </c>
      <c r="D478" s="5">
        <v>16.25</v>
      </c>
      <c r="E478" s="4" t="s">
        <v>6778</v>
      </c>
      <c r="F478" s="3" t="s">
        <v>5640</v>
      </c>
      <c r="G478" s="7" t="s">
        <v>6776</v>
      </c>
      <c r="H478" s="3" t="s">
        <v>5842</v>
      </c>
      <c r="I478" s="3" t="s">
        <v>6773</v>
      </c>
      <c r="J478" s="3" t="s">
        <v>5536</v>
      </c>
      <c r="K478" s="3" t="s">
        <v>6774</v>
      </c>
      <c r="L478" s="8" t="str">
        <f>HYPERLINK("http://slimages.macys.com/is/image/MCY/14536305 ")</f>
        <v xml:space="preserve">http://slimages.macys.com/is/image/MCY/14536305 </v>
      </c>
    </row>
    <row r="479" spans="1:12" ht="24.75" x14ac:dyDescent="0.25">
      <c r="A479" s="6" t="s">
        <v>6779</v>
      </c>
      <c r="B479" s="3" t="s">
        <v>6780</v>
      </c>
      <c r="C479" s="4">
        <v>1</v>
      </c>
      <c r="D479" s="5">
        <v>12.99</v>
      </c>
      <c r="E479" s="4" t="s">
        <v>6781</v>
      </c>
      <c r="F479" s="3" t="s">
        <v>5604</v>
      </c>
      <c r="G479" s="7" t="s">
        <v>5766</v>
      </c>
      <c r="H479" s="3" t="s">
        <v>5825</v>
      </c>
      <c r="I479" s="3" t="s">
        <v>5826</v>
      </c>
      <c r="J479" s="3" t="s">
        <v>5536</v>
      </c>
      <c r="K479" s="3" t="s">
        <v>6610</v>
      </c>
      <c r="L479" s="8" t="str">
        <f t="shared" ref="L479:L485" si="3">HYPERLINK("http://slimages.macys.com/is/image/MCY/10470310 ")</f>
        <v xml:space="preserve">http://slimages.macys.com/is/image/MCY/10470310 </v>
      </c>
    </row>
    <row r="480" spans="1:12" ht="24.75" x14ac:dyDescent="0.25">
      <c r="A480" s="6" t="s">
        <v>6782</v>
      </c>
      <c r="B480" s="3" t="s">
        <v>6780</v>
      </c>
      <c r="C480" s="4">
        <v>1</v>
      </c>
      <c r="D480" s="5">
        <v>12.99</v>
      </c>
      <c r="E480" s="4" t="s">
        <v>6781</v>
      </c>
      <c r="F480" s="3" t="s">
        <v>5604</v>
      </c>
      <c r="G480" s="7"/>
      <c r="H480" s="3" t="s">
        <v>5825</v>
      </c>
      <c r="I480" s="3" t="s">
        <v>5826</v>
      </c>
      <c r="J480" s="3" t="s">
        <v>5536</v>
      </c>
      <c r="K480" s="3" t="s">
        <v>6610</v>
      </c>
      <c r="L480" s="8" t="str">
        <f t="shared" si="3"/>
        <v xml:space="preserve">http://slimages.macys.com/is/image/MCY/10470310 </v>
      </c>
    </row>
    <row r="481" spans="1:12" ht="24.75" x14ac:dyDescent="0.25">
      <c r="A481" s="6" t="s">
        <v>6783</v>
      </c>
      <c r="B481" s="3" t="s">
        <v>6780</v>
      </c>
      <c r="C481" s="4">
        <v>1</v>
      </c>
      <c r="D481" s="5">
        <v>12.99</v>
      </c>
      <c r="E481" s="4" t="s">
        <v>6781</v>
      </c>
      <c r="F481" s="3" t="s">
        <v>5604</v>
      </c>
      <c r="G481" s="7" t="s">
        <v>5764</v>
      </c>
      <c r="H481" s="3" t="s">
        <v>5825</v>
      </c>
      <c r="I481" s="3" t="s">
        <v>5826</v>
      </c>
      <c r="J481" s="3" t="s">
        <v>5536</v>
      </c>
      <c r="K481" s="3" t="s">
        <v>6610</v>
      </c>
      <c r="L481" s="8" t="str">
        <f t="shared" si="3"/>
        <v xml:space="preserve">http://slimages.macys.com/is/image/MCY/10470310 </v>
      </c>
    </row>
    <row r="482" spans="1:12" ht="24.75" x14ac:dyDescent="0.25">
      <c r="A482" s="6" t="s">
        <v>6784</v>
      </c>
      <c r="B482" s="3" t="s">
        <v>6780</v>
      </c>
      <c r="C482" s="4">
        <v>1</v>
      </c>
      <c r="D482" s="5">
        <v>12.99</v>
      </c>
      <c r="E482" s="4" t="s">
        <v>6781</v>
      </c>
      <c r="F482" s="3" t="s">
        <v>5604</v>
      </c>
      <c r="G482" s="7" t="s">
        <v>6025</v>
      </c>
      <c r="H482" s="3" t="s">
        <v>5825</v>
      </c>
      <c r="I482" s="3" t="s">
        <v>5826</v>
      </c>
      <c r="J482" s="3" t="s">
        <v>5536</v>
      </c>
      <c r="K482" s="3" t="s">
        <v>6610</v>
      </c>
      <c r="L482" s="8" t="str">
        <f t="shared" si="3"/>
        <v xml:space="preserve">http://slimages.macys.com/is/image/MCY/10470310 </v>
      </c>
    </row>
    <row r="483" spans="1:12" ht="24.75" x14ac:dyDescent="0.25">
      <c r="A483" s="6" t="s">
        <v>6785</v>
      </c>
      <c r="B483" s="3" t="s">
        <v>6780</v>
      </c>
      <c r="C483" s="4">
        <v>1</v>
      </c>
      <c r="D483" s="5">
        <v>12.99</v>
      </c>
      <c r="E483" s="4" t="s">
        <v>6781</v>
      </c>
      <c r="F483" s="3" t="s">
        <v>5604</v>
      </c>
      <c r="G483" s="7"/>
      <c r="H483" s="3" t="s">
        <v>5825</v>
      </c>
      <c r="I483" s="3" t="s">
        <v>5826</v>
      </c>
      <c r="J483" s="3" t="s">
        <v>5536</v>
      </c>
      <c r="K483" s="3" t="s">
        <v>6610</v>
      </c>
      <c r="L483" s="8" t="str">
        <f t="shared" si="3"/>
        <v xml:space="preserve">http://slimages.macys.com/is/image/MCY/10470310 </v>
      </c>
    </row>
    <row r="484" spans="1:12" ht="24.75" x14ac:dyDescent="0.25">
      <c r="A484" s="6" t="s">
        <v>6786</v>
      </c>
      <c r="B484" s="3" t="s">
        <v>6780</v>
      </c>
      <c r="C484" s="4">
        <v>1</v>
      </c>
      <c r="D484" s="5">
        <v>12.99</v>
      </c>
      <c r="E484" s="4" t="s">
        <v>6781</v>
      </c>
      <c r="F484" s="3" t="s">
        <v>5604</v>
      </c>
      <c r="G484" s="7" t="s">
        <v>5768</v>
      </c>
      <c r="H484" s="3" t="s">
        <v>5825</v>
      </c>
      <c r="I484" s="3" t="s">
        <v>5826</v>
      </c>
      <c r="J484" s="3" t="s">
        <v>5536</v>
      </c>
      <c r="K484" s="3" t="s">
        <v>6610</v>
      </c>
      <c r="L484" s="8" t="str">
        <f t="shared" si="3"/>
        <v xml:space="preserve">http://slimages.macys.com/is/image/MCY/10470310 </v>
      </c>
    </row>
    <row r="485" spans="1:12" ht="24.75" x14ac:dyDescent="0.25">
      <c r="A485" s="6" t="s">
        <v>6787</v>
      </c>
      <c r="B485" s="3" t="s">
        <v>6780</v>
      </c>
      <c r="C485" s="4">
        <v>1</v>
      </c>
      <c r="D485" s="5">
        <v>12.99</v>
      </c>
      <c r="E485" s="4" t="s">
        <v>6781</v>
      </c>
      <c r="F485" s="3" t="s">
        <v>5604</v>
      </c>
      <c r="G485" s="7" t="s">
        <v>6476</v>
      </c>
      <c r="H485" s="3" t="s">
        <v>5825</v>
      </c>
      <c r="I485" s="3" t="s">
        <v>5826</v>
      </c>
      <c r="J485" s="3" t="s">
        <v>5536</v>
      </c>
      <c r="K485" s="3" t="s">
        <v>6610</v>
      </c>
      <c r="L485" s="8" t="str">
        <f t="shared" si="3"/>
        <v xml:space="preserve">http://slimages.macys.com/is/image/MCY/10470310 </v>
      </c>
    </row>
    <row r="486" spans="1:12" ht="24.75" x14ac:dyDescent="0.25">
      <c r="A486" s="6" t="s">
        <v>6788</v>
      </c>
      <c r="B486" s="3" t="s">
        <v>6789</v>
      </c>
      <c r="C486" s="4">
        <v>1</v>
      </c>
      <c r="D486" s="5">
        <v>20</v>
      </c>
      <c r="E486" s="4">
        <v>10043258</v>
      </c>
      <c r="F486" s="3" t="s">
        <v>5783</v>
      </c>
      <c r="G486" s="7" t="s">
        <v>5562</v>
      </c>
      <c r="H486" s="3" t="s">
        <v>6492</v>
      </c>
      <c r="I486" s="3" t="s">
        <v>6790</v>
      </c>
      <c r="J486" s="3" t="s">
        <v>5536</v>
      </c>
      <c r="K486" s="3" t="s">
        <v>5549</v>
      </c>
      <c r="L486" s="8" t="str">
        <f>HYPERLINK("http://slimages.macys.com/is/image/MCY/12835680 ")</f>
        <v xml:space="preserve">http://slimages.macys.com/is/image/MCY/12835680 </v>
      </c>
    </row>
    <row r="487" spans="1:12" ht="24.75" x14ac:dyDescent="0.25">
      <c r="A487" s="6" t="s">
        <v>6791</v>
      </c>
      <c r="B487" s="3" t="s">
        <v>6792</v>
      </c>
      <c r="C487" s="4">
        <v>1</v>
      </c>
      <c r="D487" s="5">
        <v>12.99</v>
      </c>
      <c r="E487" s="4" t="s">
        <v>6793</v>
      </c>
      <c r="F487" s="3" t="s">
        <v>5793</v>
      </c>
      <c r="G487" s="7" t="s">
        <v>5533</v>
      </c>
      <c r="H487" s="3" t="s">
        <v>6794</v>
      </c>
      <c r="I487" s="3" t="s">
        <v>6795</v>
      </c>
      <c r="J487" s="3" t="s">
        <v>5536</v>
      </c>
      <c r="K487" s="3" t="s">
        <v>5727</v>
      </c>
      <c r="L487" s="8" t="str">
        <f>HYPERLINK("http://slimages.macys.com/is/image/MCY/14573097 ")</f>
        <v xml:space="preserve">http://slimages.macys.com/is/image/MCY/14573097 </v>
      </c>
    </row>
    <row r="488" spans="1:12" ht="24.75" x14ac:dyDescent="0.25">
      <c r="A488" s="6" t="s">
        <v>6796</v>
      </c>
      <c r="B488" s="3" t="s">
        <v>6792</v>
      </c>
      <c r="C488" s="4">
        <v>1</v>
      </c>
      <c r="D488" s="5">
        <v>12.99</v>
      </c>
      <c r="E488" s="4" t="s">
        <v>6793</v>
      </c>
      <c r="F488" s="3" t="s">
        <v>5793</v>
      </c>
      <c r="G488" s="7" t="s">
        <v>5562</v>
      </c>
      <c r="H488" s="3" t="s">
        <v>6794</v>
      </c>
      <c r="I488" s="3" t="s">
        <v>6795</v>
      </c>
      <c r="J488" s="3" t="s">
        <v>5536</v>
      </c>
      <c r="K488" s="3" t="s">
        <v>5727</v>
      </c>
      <c r="L488" s="8" t="str">
        <f>HYPERLINK("http://slimages.macys.com/is/image/MCY/14573097 ")</f>
        <v xml:space="preserve">http://slimages.macys.com/is/image/MCY/14573097 </v>
      </c>
    </row>
    <row r="489" spans="1:12" ht="24.75" x14ac:dyDescent="0.25">
      <c r="A489" s="6" t="s">
        <v>6797</v>
      </c>
      <c r="B489" s="3" t="s">
        <v>6798</v>
      </c>
      <c r="C489" s="4">
        <v>1</v>
      </c>
      <c r="D489" s="5">
        <v>15</v>
      </c>
      <c r="E489" s="4" t="s">
        <v>6799</v>
      </c>
      <c r="F489" s="3" t="s">
        <v>5783</v>
      </c>
      <c r="G489" s="7" t="s">
        <v>6252</v>
      </c>
      <c r="H489" s="3" t="s">
        <v>5899</v>
      </c>
      <c r="I489" s="3" t="s">
        <v>6800</v>
      </c>
      <c r="J489" s="3" t="s">
        <v>5536</v>
      </c>
      <c r="K489" s="3" t="s">
        <v>6801</v>
      </c>
      <c r="L489" s="8" t="str">
        <f>HYPERLINK("http://slimages.macys.com/is/image/MCY/14723456 ")</f>
        <v xml:space="preserve">http://slimages.macys.com/is/image/MCY/14723456 </v>
      </c>
    </row>
    <row r="490" spans="1:12" ht="36.75" x14ac:dyDescent="0.25">
      <c r="A490" s="6" t="s">
        <v>6802</v>
      </c>
      <c r="B490" s="3" t="s">
        <v>6803</v>
      </c>
      <c r="C490" s="4">
        <v>1</v>
      </c>
      <c r="D490" s="5">
        <v>12.99</v>
      </c>
      <c r="E490" s="4" t="s">
        <v>6804</v>
      </c>
      <c r="F490" s="3"/>
      <c r="G490" s="7"/>
      <c r="H490" s="3" t="s">
        <v>6805</v>
      </c>
      <c r="I490" s="3" t="s">
        <v>6806</v>
      </c>
      <c r="J490" s="3" t="s">
        <v>5536</v>
      </c>
      <c r="K490" s="3" t="s">
        <v>6807</v>
      </c>
      <c r="L490" s="8" t="str">
        <f>HYPERLINK("http://slimages.macys.com/is/image/MCY/14527941 ")</f>
        <v xml:space="preserve">http://slimages.macys.com/is/image/MCY/14527941 </v>
      </c>
    </row>
    <row r="491" spans="1:12" ht="24.75" x14ac:dyDescent="0.25">
      <c r="A491" s="6" t="s">
        <v>6808</v>
      </c>
      <c r="B491" s="3" t="s">
        <v>6809</v>
      </c>
      <c r="C491" s="4">
        <v>2</v>
      </c>
      <c r="D491" s="5">
        <v>33.979999999999997</v>
      </c>
      <c r="E491" s="4" t="s">
        <v>6810</v>
      </c>
      <c r="F491" s="3" t="s">
        <v>5540</v>
      </c>
      <c r="G491" s="7" t="s">
        <v>6772</v>
      </c>
      <c r="H491" s="3" t="s">
        <v>5842</v>
      </c>
      <c r="I491" s="3" t="s">
        <v>6811</v>
      </c>
      <c r="J491" s="3" t="s">
        <v>5536</v>
      </c>
      <c r="K491" s="3" t="s">
        <v>6812</v>
      </c>
      <c r="L491" s="8" t="str">
        <f>HYPERLINK("http://slimages.macys.com/is/image/MCY/10454849 ")</f>
        <v xml:space="preserve">http://slimages.macys.com/is/image/MCY/10454849 </v>
      </c>
    </row>
    <row r="492" spans="1:12" ht="24.75" x14ac:dyDescent="0.25">
      <c r="A492" s="6" t="s">
        <v>6813</v>
      </c>
      <c r="B492" s="3" t="s">
        <v>6814</v>
      </c>
      <c r="C492" s="4">
        <v>1</v>
      </c>
      <c r="D492" s="5">
        <v>16.989999999999998</v>
      </c>
      <c r="E492" s="4" t="s">
        <v>6810</v>
      </c>
      <c r="F492" s="3" t="s">
        <v>5798</v>
      </c>
      <c r="G492" s="7" t="s">
        <v>6772</v>
      </c>
      <c r="H492" s="3" t="s">
        <v>5842</v>
      </c>
      <c r="I492" s="3" t="s">
        <v>6811</v>
      </c>
      <c r="J492" s="3" t="s">
        <v>5536</v>
      </c>
      <c r="K492" s="3" t="s">
        <v>6812</v>
      </c>
      <c r="L492" s="8" t="str">
        <f>HYPERLINK("http://slimages.macys.com/is/image/MCY/10454849 ")</f>
        <v xml:space="preserve">http://slimages.macys.com/is/image/MCY/10454849 </v>
      </c>
    </row>
    <row r="493" spans="1:12" ht="24.75" x14ac:dyDescent="0.25">
      <c r="A493" s="6" t="s">
        <v>6815</v>
      </c>
      <c r="B493" s="3" t="s">
        <v>6816</v>
      </c>
      <c r="C493" s="4">
        <v>1</v>
      </c>
      <c r="D493" s="5">
        <v>16.989999999999998</v>
      </c>
      <c r="E493" s="4" t="s">
        <v>6817</v>
      </c>
      <c r="F493" s="3" t="s">
        <v>5540</v>
      </c>
      <c r="G493" s="7" t="s">
        <v>6776</v>
      </c>
      <c r="H493" s="3" t="s">
        <v>5842</v>
      </c>
      <c r="I493" s="3" t="s">
        <v>6811</v>
      </c>
      <c r="J493" s="3" t="s">
        <v>5536</v>
      </c>
      <c r="K493" s="3" t="s">
        <v>6812</v>
      </c>
      <c r="L493" s="8" t="str">
        <f>HYPERLINK("http://slimages.macys.com/is/image/MCY/10454875 ")</f>
        <v xml:space="preserve">http://slimages.macys.com/is/image/MCY/10454875 </v>
      </c>
    </row>
    <row r="494" spans="1:12" ht="24.75" x14ac:dyDescent="0.25">
      <c r="A494" s="6" t="s">
        <v>6818</v>
      </c>
      <c r="B494" s="3" t="s">
        <v>6814</v>
      </c>
      <c r="C494" s="4">
        <v>1</v>
      </c>
      <c r="D494" s="5">
        <v>16.989999999999998</v>
      </c>
      <c r="E494" s="4" t="s">
        <v>6810</v>
      </c>
      <c r="F494" s="3" t="s">
        <v>5798</v>
      </c>
      <c r="G494" s="7" t="s">
        <v>6819</v>
      </c>
      <c r="H494" s="3" t="s">
        <v>5842</v>
      </c>
      <c r="I494" s="3" t="s">
        <v>6811</v>
      </c>
      <c r="J494" s="3" t="s">
        <v>5536</v>
      </c>
      <c r="K494" s="3" t="s">
        <v>6812</v>
      </c>
      <c r="L494" s="8" t="str">
        <f>HYPERLINK("http://slimages.macys.com/is/image/MCY/10454849 ")</f>
        <v xml:space="preserve">http://slimages.macys.com/is/image/MCY/10454849 </v>
      </c>
    </row>
    <row r="495" spans="1:12" ht="24.75" x14ac:dyDescent="0.25">
      <c r="A495" s="6" t="s">
        <v>6820</v>
      </c>
      <c r="B495" s="3" t="s">
        <v>6809</v>
      </c>
      <c r="C495" s="4">
        <v>3</v>
      </c>
      <c r="D495" s="5">
        <v>50.97</v>
      </c>
      <c r="E495" s="4" t="s">
        <v>6810</v>
      </c>
      <c r="F495" s="3" t="s">
        <v>5540</v>
      </c>
      <c r="G495" s="7" t="s">
        <v>6819</v>
      </c>
      <c r="H495" s="3" t="s">
        <v>5842</v>
      </c>
      <c r="I495" s="3" t="s">
        <v>6811</v>
      </c>
      <c r="J495" s="3" t="s">
        <v>5536</v>
      </c>
      <c r="K495" s="3" t="s">
        <v>6812</v>
      </c>
      <c r="L495" s="8" t="str">
        <f>HYPERLINK("http://slimages.macys.com/is/image/MCY/10454849 ")</f>
        <v xml:space="preserve">http://slimages.macys.com/is/image/MCY/10454849 </v>
      </c>
    </row>
    <row r="496" spans="1:12" ht="24.75" x14ac:dyDescent="0.25">
      <c r="A496" s="6" t="s">
        <v>6821</v>
      </c>
      <c r="B496" s="3" t="s">
        <v>6822</v>
      </c>
      <c r="C496" s="4">
        <v>1</v>
      </c>
      <c r="D496" s="5">
        <v>12.99</v>
      </c>
      <c r="E496" s="4" t="s">
        <v>6823</v>
      </c>
      <c r="F496" s="3"/>
      <c r="G496" s="7"/>
      <c r="H496" s="3" t="s">
        <v>6805</v>
      </c>
      <c r="I496" s="3" t="s">
        <v>6824</v>
      </c>
      <c r="J496" s="3" t="s">
        <v>5536</v>
      </c>
      <c r="K496" s="3" t="s">
        <v>6825</v>
      </c>
      <c r="L496" s="8" t="str">
        <f>HYPERLINK("http://slimages.macys.com/is/image/MCY/14312130 ")</f>
        <v xml:space="preserve">http://slimages.macys.com/is/image/MCY/14312130 </v>
      </c>
    </row>
    <row r="497" spans="1:12" ht="24.75" x14ac:dyDescent="0.25">
      <c r="A497" s="6" t="s">
        <v>6826</v>
      </c>
      <c r="B497" s="3" t="s">
        <v>6827</v>
      </c>
      <c r="C497" s="4">
        <v>1</v>
      </c>
      <c r="D497" s="5">
        <v>12.99</v>
      </c>
      <c r="E497" s="4" t="s">
        <v>6828</v>
      </c>
      <c r="F497" s="3"/>
      <c r="G497" s="7"/>
      <c r="H497" s="3" t="s">
        <v>6805</v>
      </c>
      <c r="I497" s="3" t="s">
        <v>6824</v>
      </c>
      <c r="J497" s="3" t="s">
        <v>5536</v>
      </c>
      <c r="K497" s="3" t="s">
        <v>6825</v>
      </c>
      <c r="L497" s="8" t="str">
        <f>HYPERLINK("http://slimages.macys.com/is/image/MCY/14312123 ")</f>
        <v xml:space="preserve">http://slimages.macys.com/is/image/MCY/14312123 </v>
      </c>
    </row>
    <row r="498" spans="1:12" ht="24.75" x14ac:dyDescent="0.25">
      <c r="A498" s="6" t="s">
        <v>6829</v>
      </c>
      <c r="B498" s="3" t="s">
        <v>6830</v>
      </c>
      <c r="C498" s="4">
        <v>1</v>
      </c>
      <c r="D498" s="5">
        <v>24.99</v>
      </c>
      <c r="E498" s="4" t="s">
        <v>6831</v>
      </c>
      <c r="F498" s="3" t="s">
        <v>6739</v>
      </c>
      <c r="G498" s="7" t="s">
        <v>5562</v>
      </c>
      <c r="H498" s="3" t="s">
        <v>6003</v>
      </c>
      <c r="I498" s="3" t="s">
        <v>6004</v>
      </c>
      <c r="J498" s="3" t="s">
        <v>5536</v>
      </c>
      <c r="K498" s="3" t="s">
        <v>6494</v>
      </c>
      <c r="L498" s="8" t="str">
        <f>HYPERLINK("http://slimages.macys.com/is/image/MCY/15298833 ")</f>
        <v xml:space="preserve">http://slimages.macys.com/is/image/MCY/15298833 </v>
      </c>
    </row>
    <row r="499" spans="1:12" ht="24.75" x14ac:dyDescent="0.25">
      <c r="A499" s="6" t="s">
        <v>6832</v>
      </c>
      <c r="B499" s="3" t="s">
        <v>6833</v>
      </c>
      <c r="C499" s="4">
        <v>1</v>
      </c>
      <c r="D499" s="5">
        <v>12.98</v>
      </c>
      <c r="E499" s="4" t="s">
        <v>6834</v>
      </c>
      <c r="F499" s="3" t="s">
        <v>5552</v>
      </c>
      <c r="G499" s="7" t="s">
        <v>5562</v>
      </c>
      <c r="H499" s="3" t="s">
        <v>6019</v>
      </c>
      <c r="I499" s="3" t="s">
        <v>6835</v>
      </c>
      <c r="J499" s="3" t="s">
        <v>5536</v>
      </c>
      <c r="K499" s="3" t="s">
        <v>5574</v>
      </c>
      <c r="L499" s="8" t="str">
        <f>HYPERLINK("http://slimages.macys.com/is/image/MCY/15626552 ")</f>
        <v xml:space="preserve">http://slimages.macys.com/is/image/MCY/15626552 </v>
      </c>
    </row>
    <row r="500" spans="1:12" ht="24.75" x14ac:dyDescent="0.25">
      <c r="A500" s="6" t="s">
        <v>6836</v>
      </c>
      <c r="B500" s="3" t="s">
        <v>6837</v>
      </c>
      <c r="C500" s="4">
        <v>1</v>
      </c>
      <c r="D500" s="5">
        <v>12.98</v>
      </c>
      <c r="E500" s="4" t="s">
        <v>6838</v>
      </c>
      <c r="F500" s="3" t="s">
        <v>5552</v>
      </c>
      <c r="G500" s="7" t="s">
        <v>5598</v>
      </c>
      <c r="H500" s="3" t="s">
        <v>6019</v>
      </c>
      <c r="I500" s="3" t="s">
        <v>6835</v>
      </c>
      <c r="J500" s="3" t="s">
        <v>5536</v>
      </c>
      <c r="K500" s="3" t="s">
        <v>5574</v>
      </c>
      <c r="L500" s="8" t="str">
        <f>HYPERLINK("http://slimages.macys.com/is/image/MCY/15241619 ")</f>
        <v xml:space="preserve">http://slimages.macys.com/is/image/MCY/15241619 </v>
      </c>
    </row>
    <row r="501" spans="1:12" x14ac:dyDescent="0.25">
      <c r="A501" s="6" t="s">
        <v>6839</v>
      </c>
      <c r="B501" s="3" t="s">
        <v>6840</v>
      </c>
      <c r="C501" s="4">
        <v>1</v>
      </c>
      <c r="D501" s="5">
        <v>21.99</v>
      </c>
      <c r="E501" s="4" t="s">
        <v>6841</v>
      </c>
      <c r="F501" s="3" t="s">
        <v>5578</v>
      </c>
      <c r="G501" s="7" t="s">
        <v>5596</v>
      </c>
      <c r="H501" s="3" t="s">
        <v>6003</v>
      </c>
      <c r="I501" s="3" t="s">
        <v>6004</v>
      </c>
      <c r="J501" s="3" t="s">
        <v>5536</v>
      </c>
      <c r="K501" s="3" t="s">
        <v>5574</v>
      </c>
      <c r="L501" s="8" t="str">
        <f>HYPERLINK("http://slimages.macys.com/is/image/MCY/14358524 ")</f>
        <v xml:space="preserve">http://slimages.macys.com/is/image/MCY/14358524 </v>
      </c>
    </row>
    <row r="502" spans="1:12" x14ac:dyDescent="0.25">
      <c r="A502" s="6" t="s">
        <v>6842</v>
      </c>
      <c r="B502" s="3" t="s">
        <v>6843</v>
      </c>
      <c r="C502" s="4">
        <v>1</v>
      </c>
      <c r="D502" s="5">
        <v>21.99</v>
      </c>
      <c r="E502" s="4" t="s">
        <v>6844</v>
      </c>
      <c r="F502" s="3" t="s">
        <v>5977</v>
      </c>
      <c r="G502" s="7" t="s">
        <v>5562</v>
      </c>
      <c r="H502" s="3" t="s">
        <v>6003</v>
      </c>
      <c r="I502" s="3" t="s">
        <v>6004</v>
      </c>
      <c r="J502" s="3" t="s">
        <v>5536</v>
      </c>
      <c r="K502" s="3" t="s">
        <v>5574</v>
      </c>
      <c r="L502" s="8" t="str">
        <f>HYPERLINK("http://slimages.macys.com/is/image/MCY/14358524 ")</f>
        <v xml:space="preserve">http://slimages.macys.com/is/image/MCY/14358524 </v>
      </c>
    </row>
    <row r="503" spans="1:12" ht="24.75" x14ac:dyDescent="0.25">
      <c r="A503" s="6" t="s">
        <v>6845</v>
      </c>
      <c r="B503" s="3" t="s">
        <v>6846</v>
      </c>
      <c r="C503" s="4">
        <v>1</v>
      </c>
      <c r="D503" s="5">
        <v>13.99</v>
      </c>
      <c r="E503" s="4" t="s">
        <v>6847</v>
      </c>
      <c r="F503" s="3" t="s">
        <v>5977</v>
      </c>
      <c r="G503" s="7" t="s">
        <v>6848</v>
      </c>
      <c r="H503" s="3" t="s">
        <v>5794</v>
      </c>
      <c r="I503" s="3" t="s">
        <v>6849</v>
      </c>
      <c r="J503" s="3" t="s">
        <v>5536</v>
      </c>
      <c r="K503" s="3" t="s">
        <v>6850</v>
      </c>
      <c r="L503" s="8" t="str">
        <f>HYPERLINK("http://slimages.macys.com/is/image/MCY/14816336 ")</f>
        <v xml:space="preserve">http://slimages.macys.com/is/image/MCY/14816336 </v>
      </c>
    </row>
    <row r="504" spans="1:12" ht="24.75" x14ac:dyDescent="0.25">
      <c r="A504" s="6" t="s">
        <v>6851</v>
      </c>
      <c r="B504" s="3" t="s">
        <v>6852</v>
      </c>
      <c r="C504" s="4">
        <v>1</v>
      </c>
      <c r="D504" s="5">
        <v>13.99</v>
      </c>
      <c r="E504" s="4" t="s">
        <v>6853</v>
      </c>
      <c r="F504" s="3" t="s">
        <v>5783</v>
      </c>
      <c r="G504" s="7" t="s">
        <v>6848</v>
      </c>
      <c r="H504" s="3" t="s">
        <v>5794</v>
      </c>
      <c r="I504" s="3" t="s">
        <v>6849</v>
      </c>
      <c r="J504" s="3" t="s">
        <v>5536</v>
      </c>
      <c r="K504" s="3" t="s">
        <v>6850</v>
      </c>
      <c r="L504" s="8" t="str">
        <f>HYPERLINK("http://slimages.macys.com/is/image/MCY/14840691 ")</f>
        <v xml:space="preserve">http://slimages.macys.com/is/image/MCY/14840691 </v>
      </c>
    </row>
    <row r="505" spans="1:12" ht="24.75" x14ac:dyDescent="0.25">
      <c r="A505" s="6" t="s">
        <v>6854</v>
      </c>
      <c r="B505" s="3" t="s">
        <v>6846</v>
      </c>
      <c r="C505" s="4">
        <v>2</v>
      </c>
      <c r="D505" s="5">
        <v>27.98</v>
      </c>
      <c r="E505" s="4" t="s">
        <v>6847</v>
      </c>
      <c r="F505" s="3" t="s">
        <v>5977</v>
      </c>
      <c r="G505" s="7" t="s">
        <v>5999</v>
      </c>
      <c r="H505" s="3" t="s">
        <v>5794</v>
      </c>
      <c r="I505" s="3" t="s">
        <v>6849</v>
      </c>
      <c r="J505" s="3" t="s">
        <v>5536</v>
      </c>
      <c r="K505" s="3" t="s">
        <v>6850</v>
      </c>
      <c r="L505" s="8" t="str">
        <f>HYPERLINK("http://slimages.macys.com/is/image/MCY/14816336 ")</f>
        <v xml:space="preserve">http://slimages.macys.com/is/image/MCY/14816336 </v>
      </c>
    </row>
    <row r="506" spans="1:12" ht="24.75" x14ac:dyDescent="0.25">
      <c r="A506" s="6" t="s">
        <v>6855</v>
      </c>
      <c r="B506" s="3" t="s">
        <v>6846</v>
      </c>
      <c r="C506" s="4">
        <v>1</v>
      </c>
      <c r="D506" s="5">
        <v>13.99</v>
      </c>
      <c r="E506" s="4" t="s">
        <v>6847</v>
      </c>
      <c r="F506" s="3" t="s">
        <v>5540</v>
      </c>
      <c r="G506" s="7" t="s">
        <v>5999</v>
      </c>
      <c r="H506" s="3" t="s">
        <v>5794</v>
      </c>
      <c r="I506" s="3" t="s">
        <v>6849</v>
      </c>
      <c r="J506" s="3" t="s">
        <v>5536</v>
      </c>
      <c r="K506" s="3" t="s">
        <v>6850</v>
      </c>
      <c r="L506" s="8" t="str">
        <f>HYPERLINK("http://slimages.macys.com/is/image/MCY/14816336 ")</f>
        <v xml:space="preserve">http://slimages.macys.com/is/image/MCY/14816336 </v>
      </c>
    </row>
    <row r="507" spans="1:12" ht="24.75" x14ac:dyDescent="0.25">
      <c r="A507" s="6" t="s">
        <v>6856</v>
      </c>
      <c r="B507" s="3" t="s">
        <v>6852</v>
      </c>
      <c r="C507" s="4">
        <v>1</v>
      </c>
      <c r="D507" s="5">
        <v>13.99</v>
      </c>
      <c r="E507" s="4" t="s">
        <v>6853</v>
      </c>
      <c r="F507" s="3" t="s">
        <v>5540</v>
      </c>
      <c r="G507" s="7" t="s">
        <v>5999</v>
      </c>
      <c r="H507" s="3" t="s">
        <v>5794</v>
      </c>
      <c r="I507" s="3" t="s">
        <v>6849</v>
      </c>
      <c r="J507" s="3" t="s">
        <v>5536</v>
      </c>
      <c r="K507" s="3" t="s">
        <v>6850</v>
      </c>
      <c r="L507" s="8" t="str">
        <f>HYPERLINK("http://slimages.macys.com/is/image/MCY/14840691 ")</f>
        <v xml:space="preserve">http://slimages.macys.com/is/image/MCY/14840691 </v>
      </c>
    </row>
    <row r="508" spans="1:12" ht="24.75" x14ac:dyDescent="0.25">
      <c r="A508" s="6" t="s">
        <v>6857</v>
      </c>
      <c r="B508" s="3" t="s">
        <v>6846</v>
      </c>
      <c r="C508" s="4">
        <v>1</v>
      </c>
      <c r="D508" s="5">
        <v>13.99</v>
      </c>
      <c r="E508" s="4" t="s">
        <v>6847</v>
      </c>
      <c r="F508" s="3" t="s">
        <v>5540</v>
      </c>
      <c r="G508" s="7" t="s">
        <v>6848</v>
      </c>
      <c r="H508" s="3" t="s">
        <v>5794</v>
      </c>
      <c r="I508" s="3" t="s">
        <v>6849</v>
      </c>
      <c r="J508" s="3" t="s">
        <v>5536</v>
      </c>
      <c r="K508" s="3" t="s">
        <v>6850</v>
      </c>
      <c r="L508" s="8" t="str">
        <f>HYPERLINK("http://slimages.macys.com/is/image/MCY/14816336 ")</f>
        <v xml:space="preserve">http://slimages.macys.com/is/image/MCY/14816336 </v>
      </c>
    </row>
    <row r="509" spans="1:12" ht="24.75" x14ac:dyDescent="0.25">
      <c r="A509" s="6" t="s">
        <v>6858</v>
      </c>
      <c r="B509" s="3" t="s">
        <v>6846</v>
      </c>
      <c r="C509" s="4">
        <v>7</v>
      </c>
      <c r="D509" s="5">
        <v>97.93</v>
      </c>
      <c r="E509" s="4" t="s">
        <v>6847</v>
      </c>
      <c r="F509" s="3" t="s">
        <v>5540</v>
      </c>
      <c r="G509" s="7" t="s">
        <v>5573</v>
      </c>
      <c r="H509" s="3" t="s">
        <v>5794</v>
      </c>
      <c r="I509" s="3" t="s">
        <v>6849</v>
      </c>
      <c r="J509" s="3" t="s">
        <v>5536</v>
      </c>
      <c r="K509" s="3" t="s">
        <v>6850</v>
      </c>
      <c r="L509" s="8" t="str">
        <f>HYPERLINK("http://slimages.macys.com/is/image/MCY/14816336 ")</f>
        <v xml:space="preserve">http://slimages.macys.com/is/image/MCY/14816336 </v>
      </c>
    </row>
    <row r="510" spans="1:12" ht="24.75" x14ac:dyDescent="0.25">
      <c r="A510" s="6" t="s">
        <v>6859</v>
      </c>
      <c r="B510" s="3" t="s">
        <v>6860</v>
      </c>
      <c r="C510" s="4">
        <v>1</v>
      </c>
      <c r="D510" s="5">
        <v>13.99</v>
      </c>
      <c r="E510" s="4" t="s">
        <v>6861</v>
      </c>
      <c r="F510" s="3" t="s">
        <v>5540</v>
      </c>
      <c r="G510" s="7" t="s">
        <v>6862</v>
      </c>
      <c r="H510" s="3" t="s">
        <v>5794</v>
      </c>
      <c r="I510" s="3" t="s">
        <v>6849</v>
      </c>
      <c r="J510" s="3" t="s">
        <v>5536</v>
      </c>
      <c r="K510" s="3" t="s">
        <v>6850</v>
      </c>
      <c r="L510" s="8" t="str">
        <f>HYPERLINK("http://slimages.macys.com/is/image/MCY/14816237 ")</f>
        <v xml:space="preserve">http://slimages.macys.com/is/image/MCY/14816237 </v>
      </c>
    </row>
    <row r="511" spans="1:12" ht="24.75" x14ac:dyDescent="0.25">
      <c r="A511" s="6" t="s">
        <v>6863</v>
      </c>
      <c r="B511" s="3" t="s">
        <v>6846</v>
      </c>
      <c r="C511" s="4">
        <v>3</v>
      </c>
      <c r="D511" s="5">
        <v>41.97</v>
      </c>
      <c r="E511" s="4" t="s">
        <v>6847</v>
      </c>
      <c r="F511" s="3" t="s">
        <v>5977</v>
      </c>
      <c r="G511" s="7" t="s">
        <v>5573</v>
      </c>
      <c r="H511" s="3" t="s">
        <v>5794</v>
      </c>
      <c r="I511" s="3" t="s">
        <v>6849</v>
      </c>
      <c r="J511" s="3" t="s">
        <v>5536</v>
      </c>
      <c r="K511" s="3" t="s">
        <v>6850</v>
      </c>
      <c r="L511" s="8" t="str">
        <f>HYPERLINK("http://slimages.macys.com/is/image/MCY/14816336 ")</f>
        <v xml:space="preserve">http://slimages.macys.com/is/image/MCY/14816336 </v>
      </c>
    </row>
    <row r="512" spans="1:12" ht="24.75" x14ac:dyDescent="0.25">
      <c r="A512" s="6" t="s">
        <v>6864</v>
      </c>
      <c r="B512" s="3" t="s">
        <v>6852</v>
      </c>
      <c r="C512" s="4">
        <v>1</v>
      </c>
      <c r="D512" s="5">
        <v>13.99</v>
      </c>
      <c r="E512" s="4" t="s">
        <v>6853</v>
      </c>
      <c r="F512" s="3" t="s">
        <v>5793</v>
      </c>
      <c r="G512" s="7" t="s">
        <v>6862</v>
      </c>
      <c r="H512" s="3" t="s">
        <v>5794</v>
      </c>
      <c r="I512" s="3" t="s">
        <v>6849</v>
      </c>
      <c r="J512" s="3" t="s">
        <v>5536</v>
      </c>
      <c r="K512" s="3" t="s">
        <v>6850</v>
      </c>
      <c r="L512" s="8" t="str">
        <f>HYPERLINK("http://slimages.macys.com/is/image/MCY/14840691 ")</f>
        <v xml:space="preserve">http://slimages.macys.com/is/image/MCY/14840691 </v>
      </c>
    </row>
    <row r="513" spans="1:12" ht="24.75" x14ac:dyDescent="0.25">
      <c r="A513" s="6" t="s">
        <v>6865</v>
      </c>
      <c r="B513" s="3" t="s">
        <v>6866</v>
      </c>
      <c r="C513" s="4">
        <v>1</v>
      </c>
      <c r="D513" s="5">
        <v>14.99</v>
      </c>
      <c r="E513" s="4">
        <v>10006150200</v>
      </c>
      <c r="F513" s="3" t="s">
        <v>6335</v>
      </c>
      <c r="G513" s="7" t="s">
        <v>6252</v>
      </c>
      <c r="H513" s="3" t="s">
        <v>6652</v>
      </c>
      <c r="I513" s="3" t="s">
        <v>6653</v>
      </c>
      <c r="J513" s="3" t="s">
        <v>5536</v>
      </c>
      <c r="K513" s="3" t="s">
        <v>6295</v>
      </c>
      <c r="L513" s="8" t="str">
        <f>HYPERLINK("http://slimages.macys.com/is/image/MCY/12301973 ")</f>
        <v xml:space="preserve">http://slimages.macys.com/is/image/MCY/12301973 </v>
      </c>
    </row>
    <row r="514" spans="1:12" ht="24.75" x14ac:dyDescent="0.25">
      <c r="A514" s="6" t="s">
        <v>6867</v>
      </c>
      <c r="B514" s="3" t="s">
        <v>6868</v>
      </c>
      <c r="C514" s="4">
        <v>1</v>
      </c>
      <c r="D514" s="5">
        <v>27.99</v>
      </c>
      <c r="E514" s="4">
        <v>10008586400</v>
      </c>
      <c r="F514" s="3" t="s">
        <v>5783</v>
      </c>
      <c r="G514" s="7" t="s">
        <v>6252</v>
      </c>
      <c r="H514" s="3" t="s">
        <v>6652</v>
      </c>
      <c r="I514" s="3" t="s">
        <v>6653</v>
      </c>
      <c r="J514" s="3" t="s">
        <v>5536</v>
      </c>
      <c r="K514" s="3" t="s">
        <v>6295</v>
      </c>
      <c r="L514" s="8" t="str">
        <f>HYPERLINK("http://slimages.macys.com/is/image/MCY/15917056 ")</f>
        <v xml:space="preserve">http://slimages.macys.com/is/image/MCY/15917056 </v>
      </c>
    </row>
    <row r="515" spans="1:12" ht="24.75" x14ac:dyDescent="0.25">
      <c r="A515" s="6" t="s">
        <v>6869</v>
      </c>
      <c r="B515" s="3" t="s">
        <v>6870</v>
      </c>
      <c r="C515" s="4">
        <v>1</v>
      </c>
      <c r="D515" s="5">
        <v>14.99</v>
      </c>
      <c r="E515" s="4">
        <v>10006150200</v>
      </c>
      <c r="F515" s="3" t="s">
        <v>6010</v>
      </c>
      <c r="G515" s="7" t="s">
        <v>6252</v>
      </c>
      <c r="H515" s="3" t="s">
        <v>6652</v>
      </c>
      <c r="I515" s="3" t="s">
        <v>6653</v>
      </c>
      <c r="J515" s="3" t="s">
        <v>5536</v>
      </c>
      <c r="K515" s="3" t="s">
        <v>6303</v>
      </c>
      <c r="L515" s="8" t="str">
        <f>HYPERLINK("http://slimages.macys.com/is/image/MCY/12301987 ")</f>
        <v xml:space="preserve">http://slimages.macys.com/is/image/MCY/12301987 </v>
      </c>
    </row>
    <row r="516" spans="1:12" ht="24.75" x14ac:dyDescent="0.25">
      <c r="A516" s="6" t="s">
        <v>6871</v>
      </c>
      <c r="B516" s="3" t="s">
        <v>6870</v>
      </c>
      <c r="C516" s="4">
        <v>5</v>
      </c>
      <c r="D516" s="5">
        <v>74.95</v>
      </c>
      <c r="E516" s="4">
        <v>10006150200</v>
      </c>
      <c r="F516" s="3" t="s">
        <v>6703</v>
      </c>
      <c r="G516" s="7" t="s">
        <v>6252</v>
      </c>
      <c r="H516" s="3" t="s">
        <v>6652</v>
      </c>
      <c r="I516" s="3" t="s">
        <v>6653</v>
      </c>
      <c r="J516" s="3" t="s">
        <v>5536</v>
      </c>
      <c r="K516" s="3" t="s">
        <v>6303</v>
      </c>
      <c r="L516" s="8" t="str">
        <f>HYPERLINK("http://slimages.macys.com/is/image/MCY/12301987 ")</f>
        <v xml:space="preserve">http://slimages.macys.com/is/image/MCY/12301987 </v>
      </c>
    </row>
    <row r="517" spans="1:12" ht="36.75" x14ac:dyDescent="0.25">
      <c r="A517" s="6" t="s">
        <v>6872</v>
      </c>
      <c r="B517" s="3" t="s">
        <v>6873</v>
      </c>
      <c r="C517" s="4">
        <v>2</v>
      </c>
      <c r="D517" s="5">
        <v>25.98</v>
      </c>
      <c r="E517" s="4" t="s">
        <v>6874</v>
      </c>
      <c r="F517" s="3" t="s">
        <v>5540</v>
      </c>
      <c r="G517" s="7" t="s">
        <v>6875</v>
      </c>
      <c r="H517" s="3" t="s">
        <v>6430</v>
      </c>
      <c r="I517" s="3" t="s">
        <v>6431</v>
      </c>
      <c r="J517" s="3" t="s">
        <v>5536</v>
      </c>
      <c r="K517" s="3" t="s">
        <v>5574</v>
      </c>
      <c r="L517" s="8" t="str">
        <f>HYPERLINK("http://slimages.macys.com/is/image/MCY/15550079 ")</f>
        <v xml:space="preserve">http://slimages.macys.com/is/image/MCY/15550079 </v>
      </c>
    </row>
    <row r="518" spans="1:12" ht="36.75" x14ac:dyDescent="0.25">
      <c r="A518" s="6" t="s">
        <v>6876</v>
      </c>
      <c r="B518" s="3" t="s">
        <v>6873</v>
      </c>
      <c r="C518" s="4">
        <v>1</v>
      </c>
      <c r="D518" s="5">
        <v>12.99</v>
      </c>
      <c r="E518" s="4" t="s">
        <v>6874</v>
      </c>
      <c r="F518" s="3" t="s">
        <v>5977</v>
      </c>
      <c r="G518" s="7" t="s">
        <v>6877</v>
      </c>
      <c r="H518" s="3" t="s">
        <v>6430</v>
      </c>
      <c r="I518" s="3" t="s">
        <v>6431</v>
      </c>
      <c r="J518" s="3" t="s">
        <v>5536</v>
      </c>
      <c r="K518" s="3" t="s">
        <v>5574</v>
      </c>
      <c r="L518" s="8" t="str">
        <f>HYPERLINK("http://slimages.macys.com/is/image/MCY/15550079 ")</f>
        <v xml:space="preserve">http://slimages.macys.com/is/image/MCY/15550079 </v>
      </c>
    </row>
    <row r="519" spans="1:12" ht="36.75" x14ac:dyDescent="0.25">
      <c r="A519" s="6" t="s">
        <v>6878</v>
      </c>
      <c r="B519" s="3" t="s">
        <v>6873</v>
      </c>
      <c r="C519" s="4">
        <v>1</v>
      </c>
      <c r="D519" s="5">
        <v>12.99</v>
      </c>
      <c r="E519" s="4" t="s">
        <v>6874</v>
      </c>
      <c r="F519" s="3" t="s">
        <v>5977</v>
      </c>
      <c r="G519" s="7" t="s">
        <v>6875</v>
      </c>
      <c r="H519" s="3" t="s">
        <v>6430</v>
      </c>
      <c r="I519" s="3" t="s">
        <v>6431</v>
      </c>
      <c r="J519" s="3" t="s">
        <v>5536</v>
      </c>
      <c r="K519" s="3" t="s">
        <v>5574</v>
      </c>
      <c r="L519" s="8" t="str">
        <f>HYPERLINK("http://slimages.macys.com/is/image/MCY/15550079 ")</f>
        <v xml:space="preserve">http://slimages.macys.com/is/image/MCY/15550079 </v>
      </c>
    </row>
    <row r="520" spans="1:12" ht="36.75" x14ac:dyDescent="0.25">
      <c r="A520" s="6" t="s">
        <v>6879</v>
      </c>
      <c r="B520" s="3" t="s">
        <v>6880</v>
      </c>
      <c r="C520" s="4">
        <v>1</v>
      </c>
      <c r="D520" s="5">
        <v>12.99</v>
      </c>
      <c r="E520" s="4" t="s">
        <v>6881</v>
      </c>
      <c r="F520" s="3" t="s">
        <v>5977</v>
      </c>
      <c r="G520" s="7"/>
      <c r="H520" s="3" t="s">
        <v>6430</v>
      </c>
      <c r="I520" s="3" t="s">
        <v>6431</v>
      </c>
      <c r="J520" s="3" t="s">
        <v>5536</v>
      </c>
      <c r="K520" s="3" t="s">
        <v>5574</v>
      </c>
      <c r="L520" s="8" t="str">
        <f>HYPERLINK("http://slimages.macys.com/is/image/MCY/15509356 ")</f>
        <v xml:space="preserve">http://slimages.macys.com/is/image/MCY/15509356 </v>
      </c>
    </row>
    <row r="521" spans="1:12" ht="24.75" x14ac:dyDescent="0.25">
      <c r="A521" s="6" t="s">
        <v>6882</v>
      </c>
      <c r="B521" s="3" t="s">
        <v>6883</v>
      </c>
      <c r="C521" s="4">
        <v>8</v>
      </c>
      <c r="D521" s="5">
        <v>95.92</v>
      </c>
      <c r="E521" s="4" t="s">
        <v>6884</v>
      </c>
      <c r="F521" s="3" t="s">
        <v>5532</v>
      </c>
      <c r="G521" s="7"/>
      <c r="H521" s="3" t="s">
        <v>6805</v>
      </c>
      <c r="I521" s="3" t="s">
        <v>6806</v>
      </c>
      <c r="J521" s="3" t="s">
        <v>5536</v>
      </c>
      <c r="K521" s="3" t="s">
        <v>6885</v>
      </c>
      <c r="L521" s="8" t="str">
        <f>HYPERLINK("http://slimages.macys.com/is/image/MCY/14802615 ")</f>
        <v xml:space="preserve">http://slimages.macys.com/is/image/MCY/14802615 </v>
      </c>
    </row>
    <row r="522" spans="1:12" ht="24.75" x14ac:dyDescent="0.25">
      <c r="A522" s="6" t="s">
        <v>6886</v>
      </c>
      <c r="B522" s="3" t="s">
        <v>6883</v>
      </c>
      <c r="C522" s="4">
        <v>5</v>
      </c>
      <c r="D522" s="5">
        <v>59.95</v>
      </c>
      <c r="E522" s="4" t="s">
        <v>6884</v>
      </c>
      <c r="F522" s="3"/>
      <c r="G522" s="7"/>
      <c r="H522" s="3" t="s">
        <v>6805</v>
      </c>
      <c r="I522" s="3" t="s">
        <v>6806</v>
      </c>
      <c r="J522" s="3" t="s">
        <v>5536</v>
      </c>
      <c r="K522" s="3" t="s">
        <v>6885</v>
      </c>
      <c r="L522" s="8" t="str">
        <f>HYPERLINK("http://slimages.macys.com/is/image/MCY/14802615 ")</f>
        <v xml:space="preserve">http://slimages.macys.com/is/image/MCY/14802615 </v>
      </c>
    </row>
    <row r="523" spans="1:12" ht="36.75" x14ac:dyDescent="0.25">
      <c r="A523" s="6" t="s">
        <v>6887</v>
      </c>
      <c r="B523" s="3" t="s">
        <v>6888</v>
      </c>
      <c r="C523" s="4">
        <v>1</v>
      </c>
      <c r="D523" s="5">
        <v>9.98</v>
      </c>
      <c r="E523" s="4" t="s">
        <v>6889</v>
      </c>
      <c r="F523" s="3" t="s">
        <v>5532</v>
      </c>
      <c r="G523" s="7"/>
      <c r="H523" s="3" t="s">
        <v>6805</v>
      </c>
      <c r="I523" s="3" t="s">
        <v>6806</v>
      </c>
      <c r="J523" s="3" t="s">
        <v>5536</v>
      </c>
      <c r="K523" s="3" t="s">
        <v>6890</v>
      </c>
      <c r="L523" s="8" t="str">
        <f>HYPERLINK("http://slimages.macys.com/is/image/MCY/11834643 ")</f>
        <v xml:space="preserve">http://slimages.macys.com/is/image/MCY/11834643 </v>
      </c>
    </row>
    <row r="524" spans="1:12" ht="36.75" x14ac:dyDescent="0.25">
      <c r="A524" s="6" t="s">
        <v>6891</v>
      </c>
      <c r="B524" s="3" t="s">
        <v>6892</v>
      </c>
      <c r="C524" s="4">
        <v>1</v>
      </c>
      <c r="D524" s="5">
        <v>9.98</v>
      </c>
      <c r="E524" s="4" t="s">
        <v>6889</v>
      </c>
      <c r="F524" s="3" t="s">
        <v>5540</v>
      </c>
      <c r="G524" s="7"/>
      <c r="H524" s="3" t="s">
        <v>6805</v>
      </c>
      <c r="I524" s="3" t="s">
        <v>6806</v>
      </c>
      <c r="J524" s="3" t="s">
        <v>5536</v>
      </c>
      <c r="K524" s="3" t="s">
        <v>6890</v>
      </c>
      <c r="L524" s="8" t="str">
        <f>HYPERLINK("http://slimages.macys.com/is/image/MCY/11834643 ")</f>
        <v xml:space="preserve">http://slimages.macys.com/is/image/MCY/11834643 </v>
      </c>
    </row>
    <row r="525" spans="1:12" ht="36.75" x14ac:dyDescent="0.25">
      <c r="A525" s="6" t="s">
        <v>6893</v>
      </c>
      <c r="B525" s="3" t="s">
        <v>6894</v>
      </c>
      <c r="C525" s="4">
        <v>1</v>
      </c>
      <c r="D525" s="5">
        <v>14</v>
      </c>
      <c r="E525" s="4" t="s">
        <v>6895</v>
      </c>
      <c r="F525" s="3" t="s">
        <v>5540</v>
      </c>
      <c r="G525" s="7"/>
      <c r="H525" s="3" t="s">
        <v>6805</v>
      </c>
      <c r="I525" s="3" t="s">
        <v>6896</v>
      </c>
      <c r="J525" s="3" t="s">
        <v>5536</v>
      </c>
      <c r="K525" s="3" t="s">
        <v>6897</v>
      </c>
      <c r="L525" s="8" t="str">
        <f>HYPERLINK("http://slimages.macys.com/is/image/MCY/14575872 ")</f>
        <v xml:space="preserve">http://slimages.macys.com/is/image/MCY/14575872 </v>
      </c>
    </row>
    <row r="526" spans="1:12" ht="24.75" x14ac:dyDescent="0.25">
      <c r="A526" s="6" t="s">
        <v>6898</v>
      </c>
      <c r="B526" s="3" t="s">
        <v>6899</v>
      </c>
      <c r="C526" s="4">
        <v>1</v>
      </c>
      <c r="D526" s="5">
        <v>16.989999999999998</v>
      </c>
      <c r="E526" s="4" t="s">
        <v>6900</v>
      </c>
      <c r="F526" s="3" t="s">
        <v>6275</v>
      </c>
      <c r="G526" s="7" t="s">
        <v>5562</v>
      </c>
      <c r="H526" s="3" t="s">
        <v>6003</v>
      </c>
      <c r="I526" s="3" t="s">
        <v>6004</v>
      </c>
      <c r="J526" s="3" t="s">
        <v>5536</v>
      </c>
      <c r="K526" s="3" t="s">
        <v>5574</v>
      </c>
      <c r="L526" s="8" t="str">
        <f>HYPERLINK("http://slimages.macys.com/is/image/MCY/14795962 ")</f>
        <v xml:space="preserve">http://slimages.macys.com/is/image/MCY/14795962 </v>
      </c>
    </row>
    <row r="527" spans="1:12" ht="24.75" x14ac:dyDescent="0.25">
      <c r="A527" s="6" t="s">
        <v>6901</v>
      </c>
      <c r="B527" s="3" t="s">
        <v>6902</v>
      </c>
      <c r="C527" s="4">
        <v>1</v>
      </c>
      <c r="D527" s="5">
        <v>14</v>
      </c>
      <c r="E527" s="4" t="s">
        <v>6903</v>
      </c>
      <c r="F527" s="3" t="s">
        <v>5803</v>
      </c>
      <c r="G527" s="7" t="s">
        <v>5898</v>
      </c>
      <c r="H527" s="3" t="s">
        <v>6515</v>
      </c>
      <c r="I527" s="3" t="s">
        <v>6066</v>
      </c>
      <c r="J527" s="3" t="s">
        <v>5536</v>
      </c>
      <c r="K527" s="3" t="s">
        <v>5984</v>
      </c>
      <c r="L527" s="8" t="str">
        <f>HYPERLINK("http://slimages.macys.com/is/image/MCY/8853222 ")</f>
        <v xml:space="preserve">http://slimages.macys.com/is/image/MCY/8853222 </v>
      </c>
    </row>
    <row r="528" spans="1:12" ht="24.75" x14ac:dyDescent="0.25">
      <c r="A528" s="6" t="s">
        <v>6904</v>
      </c>
      <c r="B528" s="3" t="s">
        <v>6905</v>
      </c>
      <c r="C528" s="4">
        <v>2</v>
      </c>
      <c r="D528" s="5">
        <v>24</v>
      </c>
      <c r="E528" s="4" t="s">
        <v>6906</v>
      </c>
      <c r="F528" s="3" t="s">
        <v>6075</v>
      </c>
      <c r="G528" s="7"/>
      <c r="H528" s="3" t="s">
        <v>6805</v>
      </c>
      <c r="I528" s="3" t="s">
        <v>6907</v>
      </c>
      <c r="J528" s="3" t="s">
        <v>5536</v>
      </c>
      <c r="K528" s="3" t="s">
        <v>6634</v>
      </c>
      <c r="L528" s="8" t="str">
        <f>HYPERLINK("http://slimages.macys.com/is/image/MCY/10429467 ")</f>
        <v xml:space="preserve">http://slimages.macys.com/is/image/MCY/10429467 </v>
      </c>
    </row>
    <row r="529" spans="1:12" ht="24.75" x14ac:dyDescent="0.25">
      <c r="A529" s="6" t="s">
        <v>6908</v>
      </c>
      <c r="B529" s="3" t="s">
        <v>6870</v>
      </c>
      <c r="C529" s="4">
        <v>2</v>
      </c>
      <c r="D529" s="5">
        <v>29.98</v>
      </c>
      <c r="E529" s="4">
        <v>10006150200</v>
      </c>
      <c r="F529" s="3" t="s">
        <v>6275</v>
      </c>
      <c r="G529" s="7" t="s">
        <v>6252</v>
      </c>
      <c r="H529" s="3" t="s">
        <v>6652</v>
      </c>
      <c r="I529" s="3" t="s">
        <v>6653</v>
      </c>
      <c r="J529" s="3" t="s">
        <v>5536</v>
      </c>
      <c r="K529" s="3" t="s">
        <v>6303</v>
      </c>
      <c r="L529" s="8" t="str">
        <f>HYPERLINK("http://slimages.macys.com/is/image/MCY/12301987 ")</f>
        <v xml:space="preserve">http://slimages.macys.com/is/image/MCY/12301987 </v>
      </c>
    </row>
    <row r="530" spans="1:12" ht="24.75" x14ac:dyDescent="0.25">
      <c r="A530" s="6" t="s">
        <v>6909</v>
      </c>
      <c r="B530" s="3" t="s">
        <v>6910</v>
      </c>
      <c r="C530" s="4">
        <v>1</v>
      </c>
      <c r="D530" s="5">
        <v>14</v>
      </c>
      <c r="E530" s="4" t="s">
        <v>6911</v>
      </c>
      <c r="F530" s="3" t="s">
        <v>5661</v>
      </c>
      <c r="G530" s="7" t="s">
        <v>5898</v>
      </c>
      <c r="H530" s="3" t="s">
        <v>6515</v>
      </c>
      <c r="I530" s="3" t="s">
        <v>6066</v>
      </c>
      <c r="J530" s="3" t="s">
        <v>5536</v>
      </c>
      <c r="K530" s="3" t="s">
        <v>5727</v>
      </c>
      <c r="L530" s="8" t="str">
        <f>HYPERLINK("http://slimages.macys.com/is/image/MCY/14574194 ")</f>
        <v xml:space="preserve">http://slimages.macys.com/is/image/MCY/14574194 </v>
      </c>
    </row>
    <row r="531" spans="1:12" ht="36.75" x14ac:dyDescent="0.25">
      <c r="A531" s="6" t="s">
        <v>6912</v>
      </c>
      <c r="B531" s="3" t="s">
        <v>6913</v>
      </c>
      <c r="C531" s="4">
        <v>9</v>
      </c>
      <c r="D531" s="5">
        <v>89.91</v>
      </c>
      <c r="E531" s="4" t="s">
        <v>6914</v>
      </c>
      <c r="F531" s="3" t="s">
        <v>5977</v>
      </c>
      <c r="G531" s="7" t="s">
        <v>5533</v>
      </c>
      <c r="H531" s="3" t="s">
        <v>6430</v>
      </c>
      <c r="I531" s="3" t="s">
        <v>6431</v>
      </c>
      <c r="J531" s="3" t="s">
        <v>5536</v>
      </c>
      <c r="K531" s="3" t="s">
        <v>5574</v>
      </c>
      <c r="L531" s="8" t="str">
        <f>HYPERLINK("http://slimages.macys.com/is/image/MCY/15550079 ")</f>
        <v xml:space="preserve">http://slimages.macys.com/is/image/MCY/15550079 </v>
      </c>
    </row>
    <row r="532" spans="1:12" ht="36.75" x14ac:dyDescent="0.25">
      <c r="A532" s="6" t="s">
        <v>6915</v>
      </c>
      <c r="B532" s="3" t="s">
        <v>6916</v>
      </c>
      <c r="C532" s="4">
        <v>3</v>
      </c>
      <c r="D532" s="5">
        <v>29.97</v>
      </c>
      <c r="E532" s="4" t="s">
        <v>6917</v>
      </c>
      <c r="F532" s="3" t="s">
        <v>5977</v>
      </c>
      <c r="G532" s="7" t="s">
        <v>5560</v>
      </c>
      <c r="H532" s="3" t="s">
        <v>6430</v>
      </c>
      <c r="I532" s="3" t="s">
        <v>6431</v>
      </c>
      <c r="J532" s="3" t="s">
        <v>5536</v>
      </c>
      <c r="K532" s="3" t="s">
        <v>5574</v>
      </c>
      <c r="L532" s="8" t="str">
        <f>HYPERLINK("http://slimages.macys.com/is/image/MCY/15509348 ")</f>
        <v xml:space="preserve">http://slimages.macys.com/is/image/MCY/15509348 </v>
      </c>
    </row>
    <row r="533" spans="1:12" ht="36.75" x14ac:dyDescent="0.25">
      <c r="A533" s="6" t="s">
        <v>6918</v>
      </c>
      <c r="B533" s="3" t="s">
        <v>6913</v>
      </c>
      <c r="C533" s="4">
        <v>4</v>
      </c>
      <c r="D533" s="5">
        <v>39.96</v>
      </c>
      <c r="E533" s="4" t="s">
        <v>6914</v>
      </c>
      <c r="F533" s="3" t="s">
        <v>5540</v>
      </c>
      <c r="G533" s="7" t="s">
        <v>5596</v>
      </c>
      <c r="H533" s="3" t="s">
        <v>6430</v>
      </c>
      <c r="I533" s="3" t="s">
        <v>6431</v>
      </c>
      <c r="J533" s="3" t="s">
        <v>5536</v>
      </c>
      <c r="K533" s="3" t="s">
        <v>5574</v>
      </c>
      <c r="L533" s="8" t="str">
        <f>HYPERLINK("http://slimages.macys.com/is/image/MCY/15550079 ")</f>
        <v xml:space="preserve">http://slimages.macys.com/is/image/MCY/15550079 </v>
      </c>
    </row>
    <row r="534" spans="1:12" ht="36.75" x14ac:dyDescent="0.25">
      <c r="A534" s="6" t="s">
        <v>6919</v>
      </c>
      <c r="B534" s="3" t="s">
        <v>6913</v>
      </c>
      <c r="C534" s="4">
        <v>1</v>
      </c>
      <c r="D534" s="5">
        <v>9.99</v>
      </c>
      <c r="E534" s="4" t="s">
        <v>6914</v>
      </c>
      <c r="F534" s="3" t="s">
        <v>5540</v>
      </c>
      <c r="G534" s="7" t="s">
        <v>5533</v>
      </c>
      <c r="H534" s="3" t="s">
        <v>6430</v>
      </c>
      <c r="I534" s="3" t="s">
        <v>6431</v>
      </c>
      <c r="J534" s="3" t="s">
        <v>5536</v>
      </c>
      <c r="K534" s="3" t="s">
        <v>5574</v>
      </c>
      <c r="L534" s="8" t="str">
        <f>HYPERLINK("http://slimages.macys.com/is/image/MCY/15550079 ")</f>
        <v xml:space="preserve">http://slimages.macys.com/is/image/MCY/15550079 </v>
      </c>
    </row>
    <row r="535" spans="1:12" ht="36.75" x14ac:dyDescent="0.25">
      <c r="A535" s="6" t="s">
        <v>6920</v>
      </c>
      <c r="B535" s="3" t="s">
        <v>6916</v>
      </c>
      <c r="C535" s="4">
        <v>1</v>
      </c>
      <c r="D535" s="5">
        <v>9.99</v>
      </c>
      <c r="E535" s="4" t="s">
        <v>6917</v>
      </c>
      <c r="F535" s="3" t="s">
        <v>5783</v>
      </c>
      <c r="G535" s="7" t="s">
        <v>5533</v>
      </c>
      <c r="H535" s="3" t="s">
        <v>6430</v>
      </c>
      <c r="I535" s="3" t="s">
        <v>6431</v>
      </c>
      <c r="J535" s="3" t="s">
        <v>5536</v>
      </c>
      <c r="K535" s="3" t="s">
        <v>5574</v>
      </c>
      <c r="L535" s="8" t="str">
        <f>HYPERLINK("http://slimages.macys.com/is/image/MCY/15509348 ")</f>
        <v xml:space="preserve">http://slimages.macys.com/is/image/MCY/15509348 </v>
      </c>
    </row>
    <row r="536" spans="1:12" ht="36.75" x14ac:dyDescent="0.25">
      <c r="A536" s="6" t="s">
        <v>6921</v>
      </c>
      <c r="B536" s="3" t="s">
        <v>6916</v>
      </c>
      <c r="C536" s="4">
        <v>3</v>
      </c>
      <c r="D536" s="5">
        <v>29.97</v>
      </c>
      <c r="E536" s="4" t="s">
        <v>6917</v>
      </c>
      <c r="F536" s="3" t="s">
        <v>5783</v>
      </c>
      <c r="G536" s="7" t="s">
        <v>5560</v>
      </c>
      <c r="H536" s="3" t="s">
        <v>6430</v>
      </c>
      <c r="I536" s="3" t="s">
        <v>6431</v>
      </c>
      <c r="J536" s="3" t="s">
        <v>5536</v>
      </c>
      <c r="K536" s="3" t="s">
        <v>5574</v>
      </c>
      <c r="L536" s="8" t="str">
        <f>HYPERLINK("http://slimages.macys.com/is/image/MCY/15509348 ")</f>
        <v xml:space="preserve">http://slimages.macys.com/is/image/MCY/15509348 </v>
      </c>
    </row>
    <row r="537" spans="1:12" ht="36.75" x14ac:dyDescent="0.25">
      <c r="A537" s="6" t="s">
        <v>6922</v>
      </c>
      <c r="B537" s="3" t="s">
        <v>6916</v>
      </c>
      <c r="C537" s="4">
        <v>2</v>
      </c>
      <c r="D537" s="5">
        <v>19.98</v>
      </c>
      <c r="E537" s="4" t="s">
        <v>6917</v>
      </c>
      <c r="F537" s="3" t="s">
        <v>5540</v>
      </c>
      <c r="G537" s="7" t="s">
        <v>5533</v>
      </c>
      <c r="H537" s="3" t="s">
        <v>6430</v>
      </c>
      <c r="I537" s="3" t="s">
        <v>6431</v>
      </c>
      <c r="J537" s="3" t="s">
        <v>5536</v>
      </c>
      <c r="K537" s="3" t="s">
        <v>5574</v>
      </c>
      <c r="L537" s="8" t="str">
        <f>HYPERLINK("http://slimages.macys.com/is/image/MCY/15509348 ")</f>
        <v xml:space="preserve">http://slimages.macys.com/is/image/MCY/15509348 </v>
      </c>
    </row>
    <row r="538" spans="1:12" ht="36.75" x14ac:dyDescent="0.25">
      <c r="A538" s="6" t="s">
        <v>6923</v>
      </c>
      <c r="B538" s="3" t="s">
        <v>6913</v>
      </c>
      <c r="C538" s="4">
        <v>1</v>
      </c>
      <c r="D538" s="5">
        <v>9.99</v>
      </c>
      <c r="E538" s="4" t="s">
        <v>6914</v>
      </c>
      <c r="F538" s="3" t="s">
        <v>5540</v>
      </c>
      <c r="G538" s="7" t="s">
        <v>5562</v>
      </c>
      <c r="H538" s="3" t="s">
        <v>6430</v>
      </c>
      <c r="I538" s="3" t="s">
        <v>6431</v>
      </c>
      <c r="J538" s="3" t="s">
        <v>5536</v>
      </c>
      <c r="K538" s="3" t="s">
        <v>5574</v>
      </c>
      <c r="L538" s="8" t="str">
        <f>HYPERLINK("http://slimages.macys.com/is/image/MCY/15550079 ")</f>
        <v xml:space="preserve">http://slimages.macys.com/is/image/MCY/15550079 </v>
      </c>
    </row>
    <row r="539" spans="1:12" ht="36.75" x14ac:dyDescent="0.25">
      <c r="A539" s="6" t="s">
        <v>6924</v>
      </c>
      <c r="B539" s="3" t="s">
        <v>6916</v>
      </c>
      <c r="C539" s="4">
        <v>1</v>
      </c>
      <c r="D539" s="5">
        <v>9.99</v>
      </c>
      <c r="E539" s="4" t="s">
        <v>6917</v>
      </c>
      <c r="F539" s="3" t="s">
        <v>5540</v>
      </c>
      <c r="G539" s="7" t="s">
        <v>5596</v>
      </c>
      <c r="H539" s="3" t="s">
        <v>6430</v>
      </c>
      <c r="I539" s="3" t="s">
        <v>6431</v>
      </c>
      <c r="J539" s="3" t="s">
        <v>5536</v>
      </c>
      <c r="K539" s="3" t="s">
        <v>5574</v>
      </c>
      <c r="L539" s="8" t="str">
        <f>HYPERLINK("http://slimages.macys.com/is/image/MCY/15509348 ")</f>
        <v xml:space="preserve">http://slimages.macys.com/is/image/MCY/15509348 </v>
      </c>
    </row>
    <row r="540" spans="1:12" ht="36.75" x14ac:dyDescent="0.25">
      <c r="A540" s="6" t="s">
        <v>6925</v>
      </c>
      <c r="B540" s="3" t="s">
        <v>6916</v>
      </c>
      <c r="C540" s="4">
        <v>3</v>
      </c>
      <c r="D540" s="5">
        <v>29.97</v>
      </c>
      <c r="E540" s="4" t="s">
        <v>6917</v>
      </c>
      <c r="F540" s="3" t="s">
        <v>5783</v>
      </c>
      <c r="G540" s="7" t="s">
        <v>5562</v>
      </c>
      <c r="H540" s="3" t="s">
        <v>6430</v>
      </c>
      <c r="I540" s="3" t="s">
        <v>6431</v>
      </c>
      <c r="J540" s="3" t="s">
        <v>5536</v>
      </c>
      <c r="K540" s="3" t="s">
        <v>5574</v>
      </c>
      <c r="L540" s="8" t="str">
        <f>HYPERLINK("http://slimages.macys.com/is/image/MCY/15509348 ")</f>
        <v xml:space="preserve">http://slimages.macys.com/is/image/MCY/15509348 </v>
      </c>
    </row>
    <row r="541" spans="1:12" ht="36.75" x14ac:dyDescent="0.25">
      <c r="A541" s="6" t="s">
        <v>6926</v>
      </c>
      <c r="B541" s="3" t="s">
        <v>6913</v>
      </c>
      <c r="C541" s="4">
        <v>1</v>
      </c>
      <c r="D541" s="5">
        <v>9.99</v>
      </c>
      <c r="E541" s="4" t="s">
        <v>6914</v>
      </c>
      <c r="F541" s="3" t="s">
        <v>5540</v>
      </c>
      <c r="G541" s="7" t="s">
        <v>5560</v>
      </c>
      <c r="H541" s="3" t="s">
        <v>6430</v>
      </c>
      <c r="I541" s="3" t="s">
        <v>6431</v>
      </c>
      <c r="J541" s="3" t="s">
        <v>5536</v>
      </c>
      <c r="K541" s="3" t="s">
        <v>5574</v>
      </c>
      <c r="L541" s="8" t="str">
        <f>HYPERLINK("http://slimages.macys.com/is/image/MCY/15550079 ")</f>
        <v xml:space="preserve">http://slimages.macys.com/is/image/MCY/15550079 </v>
      </c>
    </row>
    <row r="542" spans="1:12" ht="36.75" x14ac:dyDescent="0.25">
      <c r="A542" s="6" t="s">
        <v>6927</v>
      </c>
      <c r="B542" s="3" t="s">
        <v>6916</v>
      </c>
      <c r="C542" s="4">
        <v>1</v>
      </c>
      <c r="D542" s="5">
        <v>9.99</v>
      </c>
      <c r="E542" s="4" t="s">
        <v>6917</v>
      </c>
      <c r="F542" s="3" t="s">
        <v>5540</v>
      </c>
      <c r="G542" s="7" t="s">
        <v>5560</v>
      </c>
      <c r="H542" s="3" t="s">
        <v>6430</v>
      </c>
      <c r="I542" s="3" t="s">
        <v>6431</v>
      </c>
      <c r="J542" s="3" t="s">
        <v>5536</v>
      </c>
      <c r="K542" s="3" t="s">
        <v>5574</v>
      </c>
      <c r="L542" s="8" t="str">
        <f>HYPERLINK("http://slimages.macys.com/is/image/MCY/15509348 ")</f>
        <v xml:space="preserve">http://slimages.macys.com/is/image/MCY/15509348 </v>
      </c>
    </row>
    <row r="543" spans="1:12" ht="36.75" x14ac:dyDescent="0.25">
      <c r="A543" s="6" t="s">
        <v>6928</v>
      </c>
      <c r="B543" s="3" t="s">
        <v>6916</v>
      </c>
      <c r="C543" s="4">
        <v>2</v>
      </c>
      <c r="D543" s="5">
        <v>19.98</v>
      </c>
      <c r="E543" s="4" t="s">
        <v>6917</v>
      </c>
      <c r="F543" s="3" t="s">
        <v>5540</v>
      </c>
      <c r="G543" s="7" t="s">
        <v>5562</v>
      </c>
      <c r="H543" s="3" t="s">
        <v>6430</v>
      </c>
      <c r="I543" s="3" t="s">
        <v>6431</v>
      </c>
      <c r="J543" s="3" t="s">
        <v>5536</v>
      </c>
      <c r="K543" s="3" t="s">
        <v>5574</v>
      </c>
      <c r="L543" s="8" t="str">
        <f>HYPERLINK("http://slimages.macys.com/is/image/MCY/15509348 ")</f>
        <v xml:space="preserve">http://slimages.macys.com/is/image/MCY/15509348 </v>
      </c>
    </row>
    <row r="544" spans="1:12" ht="36.75" x14ac:dyDescent="0.25">
      <c r="A544" s="6" t="s">
        <v>6929</v>
      </c>
      <c r="B544" s="3" t="s">
        <v>6916</v>
      </c>
      <c r="C544" s="4">
        <v>2</v>
      </c>
      <c r="D544" s="5">
        <v>19.98</v>
      </c>
      <c r="E544" s="4" t="s">
        <v>6917</v>
      </c>
      <c r="F544" s="3" t="s">
        <v>5977</v>
      </c>
      <c r="G544" s="7" t="s">
        <v>5596</v>
      </c>
      <c r="H544" s="3" t="s">
        <v>6430</v>
      </c>
      <c r="I544" s="3" t="s">
        <v>6431</v>
      </c>
      <c r="J544" s="3" t="s">
        <v>5536</v>
      </c>
      <c r="K544" s="3" t="s">
        <v>5574</v>
      </c>
      <c r="L544" s="8" t="str">
        <f>HYPERLINK("http://slimages.macys.com/is/image/MCY/15509348 ")</f>
        <v xml:space="preserve">http://slimages.macys.com/is/image/MCY/15509348 </v>
      </c>
    </row>
    <row r="545" spans="1:12" ht="36.75" x14ac:dyDescent="0.25">
      <c r="A545" s="6" t="s">
        <v>6930</v>
      </c>
      <c r="B545" s="3" t="s">
        <v>6913</v>
      </c>
      <c r="C545" s="4">
        <v>6</v>
      </c>
      <c r="D545" s="5">
        <v>59.94</v>
      </c>
      <c r="E545" s="4" t="s">
        <v>6914</v>
      </c>
      <c r="F545" s="3" t="s">
        <v>5977</v>
      </c>
      <c r="G545" s="7" t="s">
        <v>5562</v>
      </c>
      <c r="H545" s="3" t="s">
        <v>6430</v>
      </c>
      <c r="I545" s="3" t="s">
        <v>6431</v>
      </c>
      <c r="J545" s="3" t="s">
        <v>5536</v>
      </c>
      <c r="K545" s="3" t="s">
        <v>5574</v>
      </c>
      <c r="L545" s="8" t="str">
        <f>HYPERLINK("http://slimages.macys.com/is/image/MCY/15550079 ")</f>
        <v xml:space="preserve">http://slimages.macys.com/is/image/MCY/15550079 </v>
      </c>
    </row>
    <row r="546" spans="1:12" ht="36.75" x14ac:dyDescent="0.25">
      <c r="A546" s="6" t="s">
        <v>6931</v>
      </c>
      <c r="B546" s="3" t="s">
        <v>6916</v>
      </c>
      <c r="C546" s="4">
        <v>3</v>
      </c>
      <c r="D546" s="5">
        <v>29.97</v>
      </c>
      <c r="E546" s="4" t="s">
        <v>6917</v>
      </c>
      <c r="F546" s="3" t="s">
        <v>5977</v>
      </c>
      <c r="G546" s="7" t="s">
        <v>5562</v>
      </c>
      <c r="H546" s="3" t="s">
        <v>6430</v>
      </c>
      <c r="I546" s="3" t="s">
        <v>6431</v>
      </c>
      <c r="J546" s="3" t="s">
        <v>5536</v>
      </c>
      <c r="K546" s="3" t="s">
        <v>5574</v>
      </c>
      <c r="L546" s="8" t="str">
        <f>HYPERLINK("http://slimages.macys.com/is/image/MCY/15509348 ")</f>
        <v xml:space="preserve">http://slimages.macys.com/is/image/MCY/15509348 </v>
      </c>
    </row>
    <row r="547" spans="1:12" ht="36.75" x14ac:dyDescent="0.25">
      <c r="A547" s="6" t="s">
        <v>6932</v>
      </c>
      <c r="B547" s="3" t="s">
        <v>6916</v>
      </c>
      <c r="C547" s="4">
        <v>5</v>
      </c>
      <c r="D547" s="5">
        <v>49.95</v>
      </c>
      <c r="E547" s="4" t="s">
        <v>6917</v>
      </c>
      <c r="F547" s="3" t="s">
        <v>5977</v>
      </c>
      <c r="G547" s="7" t="s">
        <v>5533</v>
      </c>
      <c r="H547" s="3" t="s">
        <v>6430</v>
      </c>
      <c r="I547" s="3" t="s">
        <v>6431</v>
      </c>
      <c r="J547" s="3" t="s">
        <v>5536</v>
      </c>
      <c r="K547" s="3" t="s">
        <v>5574</v>
      </c>
      <c r="L547" s="8" t="str">
        <f>HYPERLINK("http://slimages.macys.com/is/image/MCY/15509348 ")</f>
        <v xml:space="preserve">http://slimages.macys.com/is/image/MCY/15509348 </v>
      </c>
    </row>
    <row r="548" spans="1:12" ht="36.75" x14ac:dyDescent="0.25">
      <c r="A548" s="6" t="s">
        <v>6933</v>
      </c>
      <c r="B548" s="3" t="s">
        <v>6913</v>
      </c>
      <c r="C548" s="4">
        <v>5</v>
      </c>
      <c r="D548" s="5">
        <v>49.95</v>
      </c>
      <c r="E548" s="4" t="s">
        <v>6914</v>
      </c>
      <c r="F548" s="3" t="s">
        <v>5977</v>
      </c>
      <c r="G548" s="7" t="s">
        <v>5560</v>
      </c>
      <c r="H548" s="3" t="s">
        <v>6430</v>
      </c>
      <c r="I548" s="3" t="s">
        <v>6431</v>
      </c>
      <c r="J548" s="3" t="s">
        <v>5536</v>
      </c>
      <c r="K548" s="3" t="s">
        <v>5574</v>
      </c>
      <c r="L548" s="8" t="str">
        <f>HYPERLINK("http://slimages.macys.com/is/image/MCY/15550079 ")</f>
        <v xml:space="preserve">http://slimages.macys.com/is/image/MCY/15550079 </v>
      </c>
    </row>
    <row r="549" spans="1:12" ht="36.75" x14ac:dyDescent="0.25">
      <c r="A549" s="6" t="s">
        <v>6934</v>
      </c>
      <c r="B549" s="3" t="s">
        <v>6913</v>
      </c>
      <c r="C549" s="4">
        <v>6</v>
      </c>
      <c r="D549" s="5">
        <v>59.94</v>
      </c>
      <c r="E549" s="4" t="s">
        <v>6914</v>
      </c>
      <c r="F549" s="3" t="s">
        <v>5977</v>
      </c>
      <c r="G549" s="7" t="s">
        <v>5596</v>
      </c>
      <c r="H549" s="3" t="s">
        <v>6430</v>
      </c>
      <c r="I549" s="3" t="s">
        <v>6431</v>
      </c>
      <c r="J549" s="3" t="s">
        <v>5536</v>
      </c>
      <c r="K549" s="3" t="s">
        <v>5574</v>
      </c>
      <c r="L549" s="8" t="str">
        <f>HYPERLINK("http://slimages.macys.com/is/image/MCY/15550079 ")</f>
        <v xml:space="preserve">http://slimages.macys.com/is/image/MCY/15550079 </v>
      </c>
    </row>
    <row r="550" spans="1:12" ht="24.75" x14ac:dyDescent="0.25">
      <c r="A550" s="6" t="s">
        <v>6935</v>
      </c>
      <c r="B550" s="3" t="s">
        <v>6936</v>
      </c>
      <c r="C550" s="4">
        <v>2</v>
      </c>
      <c r="D550" s="5">
        <v>22</v>
      </c>
      <c r="E550" s="4" t="s">
        <v>6937</v>
      </c>
      <c r="F550" s="3" t="s">
        <v>5803</v>
      </c>
      <c r="G550" s="7" t="s">
        <v>5898</v>
      </c>
      <c r="H550" s="3" t="s">
        <v>6515</v>
      </c>
      <c r="I550" s="3" t="s">
        <v>6066</v>
      </c>
      <c r="J550" s="3" t="s">
        <v>5536</v>
      </c>
      <c r="K550" s="3" t="s">
        <v>5984</v>
      </c>
      <c r="L550" s="8" t="str">
        <f>HYPERLINK("http://slimages.macys.com/is/image/MCY/14574814 ")</f>
        <v xml:space="preserve">http://slimages.macys.com/is/image/MCY/14574814 </v>
      </c>
    </row>
    <row r="551" spans="1:12" ht="24.75" x14ac:dyDescent="0.25">
      <c r="A551" s="6" t="s">
        <v>6938</v>
      </c>
      <c r="B551" s="3" t="s">
        <v>6939</v>
      </c>
      <c r="C551" s="4">
        <v>12</v>
      </c>
      <c r="D551" s="5">
        <v>132</v>
      </c>
      <c r="E551" s="4" t="s">
        <v>6940</v>
      </c>
      <c r="F551" s="3" t="s">
        <v>5803</v>
      </c>
      <c r="G551" s="7" t="s">
        <v>5898</v>
      </c>
      <c r="H551" s="3" t="s">
        <v>6515</v>
      </c>
      <c r="I551" s="3" t="s">
        <v>6066</v>
      </c>
      <c r="J551" s="3" t="s">
        <v>5536</v>
      </c>
      <c r="K551" s="3" t="s">
        <v>6941</v>
      </c>
      <c r="L551" s="8" t="str">
        <f>HYPERLINK("http://slimages.macys.com/is/image/MCY/8853210 ")</f>
        <v xml:space="preserve">http://slimages.macys.com/is/image/MCY/8853210 </v>
      </c>
    </row>
    <row r="552" spans="1:12" ht="24.75" x14ac:dyDescent="0.25">
      <c r="A552" s="6" t="s">
        <v>6942</v>
      </c>
      <c r="B552" s="3" t="s">
        <v>6939</v>
      </c>
      <c r="C552" s="4">
        <v>19</v>
      </c>
      <c r="D552" s="5">
        <v>209</v>
      </c>
      <c r="E552" s="4" t="s">
        <v>6940</v>
      </c>
      <c r="F552" s="3" t="s">
        <v>5540</v>
      </c>
      <c r="G552" s="7" t="s">
        <v>5898</v>
      </c>
      <c r="H552" s="3" t="s">
        <v>6515</v>
      </c>
      <c r="I552" s="3" t="s">
        <v>6066</v>
      </c>
      <c r="J552" s="3" t="s">
        <v>5536</v>
      </c>
      <c r="K552" s="3" t="s">
        <v>6941</v>
      </c>
      <c r="L552" s="8" t="str">
        <f>HYPERLINK("http://slimages.macys.com/is/image/MCY/8853210 ")</f>
        <v xml:space="preserve">http://slimages.macys.com/is/image/MCY/8853210 </v>
      </c>
    </row>
    <row r="553" spans="1:12" ht="36.75" x14ac:dyDescent="0.25">
      <c r="A553" s="6" t="s">
        <v>6943</v>
      </c>
      <c r="B553" s="3" t="s">
        <v>6944</v>
      </c>
      <c r="C553" s="4">
        <v>1</v>
      </c>
      <c r="D553" s="5">
        <v>7.98</v>
      </c>
      <c r="E553" s="4" t="s">
        <v>6945</v>
      </c>
      <c r="F553" s="3" t="s">
        <v>5532</v>
      </c>
      <c r="G553" s="7" t="s">
        <v>5596</v>
      </c>
      <c r="H553" s="3" t="s">
        <v>6430</v>
      </c>
      <c r="I553" s="3" t="s">
        <v>6431</v>
      </c>
      <c r="J553" s="3" t="s">
        <v>5536</v>
      </c>
      <c r="K553" s="3" t="s">
        <v>5574</v>
      </c>
      <c r="L553" s="8" t="str">
        <f>HYPERLINK("http://slimages.macys.com/is/image/MCY/15188983 ")</f>
        <v xml:space="preserve">http://slimages.macys.com/is/image/MCY/15188983 </v>
      </c>
    </row>
    <row r="554" spans="1:12" ht="24.75" x14ac:dyDescent="0.25">
      <c r="A554" s="6" t="s">
        <v>6946</v>
      </c>
      <c r="B554" s="3" t="s">
        <v>6947</v>
      </c>
      <c r="C554" s="4">
        <v>12</v>
      </c>
      <c r="D554" s="5">
        <v>72</v>
      </c>
      <c r="E554" s="4" t="s">
        <v>6948</v>
      </c>
      <c r="F554" s="3" t="s">
        <v>5532</v>
      </c>
      <c r="G554" s="7" t="s">
        <v>5898</v>
      </c>
      <c r="H554" s="3" t="s">
        <v>6632</v>
      </c>
      <c r="I554" s="3" t="s">
        <v>6633</v>
      </c>
      <c r="J554" s="3" t="s">
        <v>5536</v>
      </c>
      <c r="K554" s="3" t="s">
        <v>6634</v>
      </c>
      <c r="L554" s="8" t="str">
        <f>HYPERLINK("http://slimages.macys.com/is/image/MCY/14346677 ")</f>
        <v xml:space="preserve">http://slimages.macys.com/is/image/MCY/14346677 </v>
      </c>
    </row>
    <row r="555" spans="1:12" ht="24.75" x14ac:dyDescent="0.25">
      <c r="A555" s="6" t="s">
        <v>6949</v>
      </c>
      <c r="B555" s="3" t="s">
        <v>6950</v>
      </c>
      <c r="C555" s="4">
        <v>9</v>
      </c>
      <c r="D555" s="5">
        <v>54</v>
      </c>
      <c r="E555" s="4" t="s">
        <v>6951</v>
      </c>
      <c r="F555" s="3" t="s">
        <v>5532</v>
      </c>
      <c r="G555" s="7" t="s">
        <v>5898</v>
      </c>
      <c r="H555" s="3" t="s">
        <v>6632</v>
      </c>
      <c r="I555" s="3" t="s">
        <v>6633</v>
      </c>
      <c r="J555" s="3" t="s">
        <v>5536</v>
      </c>
      <c r="K555" s="3" t="s">
        <v>6952</v>
      </c>
      <c r="L555" s="8" t="str">
        <f>HYPERLINK("http://slimages.macys.com/is/image/MCY/14346687 ")</f>
        <v xml:space="preserve">http://slimages.macys.com/is/image/MCY/14346687 </v>
      </c>
    </row>
    <row r="556" spans="1:12" ht="24.75" x14ac:dyDescent="0.25">
      <c r="A556" s="6" t="s">
        <v>6953</v>
      </c>
      <c r="B556" s="3" t="s">
        <v>6954</v>
      </c>
      <c r="C556" s="4">
        <v>1</v>
      </c>
      <c r="D556" s="5">
        <v>6</v>
      </c>
      <c r="E556" s="4" t="s">
        <v>6955</v>
      </c>
      <c r="F556" s="3" t="s">
        <v>5540</v>
      </c>
      <c r="G556" s="7" t="s">
        <v>5898</v>
      </c>
      <c r="H556" s="3" t="s">
        <v>6632</v>
      </c>
      <c r="I556" s="3" t="s">
        <v>6633</v>
      </c>
      <c r="J556" s="3" t="s">
        <v>5536</v>
      </c>
      <c r="K556" s="3" t="s">
        <v>6092</v>
      </c>
      <c r="L556" s="8" t="str">
        <f>HYPERLINK("http://slimages.macys.com/is/image/MCY/10023921 ")</f>
        <v xml:space="preserve">http://slimages.macys.com/is/image/MCY/10023921 </v>
      </c>
    </row>
    <row r="557" spans="1:12" ht="24.75" x14ac:dyDescent="0.25">
      <c r="A557" s="6" t="s">
        <v>6956</v>
      </c>
      <c r="B557" s="3" t="s">
        <v>6957</v>
      </c>
      <c r="C557" s="4">
        <v>4</v>
      </c>
      <c r="D557" s="5">
        <v>24</v>
      </c>
      <c r="E557" s="4" t="s">
        <v>6958</v>
      </c>
      <c r="F557" s="3" t="s">
        <v>5540</v>
      </c>
      <c r="G557" s="7" t="s">
        <v>5898</v>
      </c>
      <c r="H557" s="3" t="s">
        <v>6632</v>
      </c>
      <c r="I557" s="3" t="s">
        <v>6633</v>
      </c>
      <c r="J557" s="3" t="s">
        <v>5536</v>
      </c>
      <c r="K557" s="3" t="s">
        <v>6634</v>
      </c>
      <c r="L557" s="8" t="str">
        <f>HYPERLINK("http://slimages.macys.com/is/image/MCY/10787972 ")</f>
        <v xml:space="preserve">http://slimages.macys.com/is/image/MCY/10787972 </v>
      </c>
    </row>
    <row r="558" spans="1:12" ht="48.75" x14ac:dyDescent="0.25">
      <c r="A558" s="6" t="s">
        <v>6959</v>
      </c>
      <c r="B558" s="3" t="s">
        <v>6960</v>
      </c>
      <c r="C558" s="4">
        <v>2</v>
      </c>
      <c r="D558" s="5">
        <v>12</v>
      </c>
      <c r="E558" s="4" t="s">
        <v>6961</v>
      </c>
      <c r="F558" s="3" t="s">
        <v>5604</v>
      </c>
      <c r="G558" s="7" t="s">
        <v>5898</v>
      </c>
      <c r="H558" s="3" t="s">
        <v>6632</v>
      </c>
      <c r="I558" s="3" t="s">
        <v>6633</v>
      </c>
      <c r="J558" s="3" t="s">
        <v>5536</v>
      </c>
      <c r="K558" s="3" t="s">
        <v>6962</v>
      </c>
      <c r="L558" s="8" t="str">
        <f>HYPERLINK("http://slimages.macys.com/is/image/MCY/15668439 ")</f>
        <v xml:space="preserve">http://slimages.macys.com/is/image/MCY/15668439 </v>
      </c>
    </row>
    <row r="559" spans="1:12" ht="24.75" x14ac:dyDescent="0.25">
      <c r="A559" s="6" t="s">
        <v>6963</v>
      </c>
      <c r="B559" s="3" t="s">
        <v>6964</v>
      </c>
      <c r="C559" s="4">
        <v>1</v>
      </c>
      <c r="D559" s="5">
        <v>6</v>
      </c>
      <c r="E559" s="4" t="s">
        <v>6965</v>
      </c>
      <c r="F559" s="3" t="s">
        <v>5793</v>
      </c>
      <c r="G559" s="7" t="s">
        <v>5898</v>
      </c>
      <c r="H559" s="3" t="s">
        <v>6632</v>
      </c>
      <c r="I559" s="3" t="s">
        <v>6633</v>
      </c>
      <c r="J559" s="3" t="s">
        <v>5536</v>
      </c>
      <c r="K559" s="3" t="s">
        <v>6634</v>
      </c>
      <c r="L559" s="8" t="str">
        <f>HYPERLINK("http://slimages.macys.com/is/image/MCY/15668394 ")</f>
        <v xml:space="preserve">http://slimages.macys.com/is/image/MCY/15668394 </v>
      </c>
    </row>
    <row r="560" spans="1:12" ht="24.75" x14ac:dyDescent="0.25">
      <c r="A560" s="6" t="s">
        <v>6966</v>
      </c>
      <c r="B560" s="3" t="s">
        <v>6967</v>
      </c>
      <c r="C560" s="4">
        <v>4</v>
      </c>
      <c r="D560" s="5">
        <v>20</v>
      </c>
      <c r="E560" s="4" t="s">
        <v>6968</v>
      </c>
      <c r="F560" s="3" t="s">
        <v>5604</v>
      </c>
      <c r="G560" s="7" t="s">
        <v>5898</v>
      </c>
      <c r="H560" s="3" t="s">
        <v>6632</v>
      </c>
      <c r="I560" s="3" t="s">
        <v>6969</v>
      </c>
      <c r="J560" s="3" t="s">
        <v>5536</v>
      </c>
      <c r="K560" s="3" t="s">
        <v>6970</v>
      </c>
      <c r="L560" s="8" t="str">
        <f>HYPERLINK("http://slimages.macys.com/is/image/MCY/13811905 ")</f>
        <v xml:space="preserve">http://slimages.macys.com/is/image/MCY/13811905 </v>
      </c>
    </row>
    <row r="561" spans="1:12" ht="24.75" x14ac:dyDescent="0.25">
      <c r="A561" s="6" t="s">
        <v>6971</v>
      </c>
      <c r="B561" s="3" t="s">
        <v>6972</v>
      </c>
      <c r="C561" s="4">
        <v>2</v>
      </c>
      <c r="D561" s="5">
        <v>10</v>
      </c>
      <c r="E561" s="4" t="s">
        <v>6973</v>
      </c>
      <c r="F561" s="3" t="s">
        <v>5783</v>
      </c>
      <c r="G561" s="7" t="s">
        <v>5898</v>
      </c>
      <c r="H561" s="3" t="s">
        <v>6632</v>
      </c>
      <c r="I561" s="3" t="s">
        <v>6969</v>
      </c>
      <c r="J561" s="3" t="s">
        <v>5536</v>
      </c>
      <c r="K561" s="3" t="s">
        <v>6974</v>
      </c>
      <c r="L561" s="8" t="str">
        <f>HYPERLINK("http://slimages.macys.com/is/image/MCY/14346427 ")</f>
        <v xml:space="preserve">http://slimages.macys.com/is/image/MCY/14346427 </v>
      </c>
    </row>
    <row r="562" spans="1:12" ht="24.75" x14ac:dyDescent="0.25">
      <c r="A562" s="6" t="s">
        <v>6975</v>
      </c>
      <c r="B562" s="3" t="s">
        <v>6976</v>
      </c>
      <c r="C562" s="4">
        <v>11</v>
      </c>
      <c r="D562" s="5">
        <v>55</v>
      </c>
      <c r="E562" s="4" t="s">
        <v>6977</v>
      </c>
      <c r="F562" s="3" t="s">
        <v>5604</v>
      </c>
      <c r="G562" s="7" t="s">
        <v>5898</v>
      </c>
      <c r="H562" s="3" t="s">
        <v>6632</v>
      </c>
      <c r="I562" s="3" t="s">
        <v>6969</v>
      </c>
      <c r="J562" s="3" t="s">
        <v>5536</v>
      </c>
      <c r="K562" s="3" t="s">
        <v>6978</v>
      </c>
      <c r="L562" s="8" t="str">
        <f>HYPERLINK("http://slimages.macys.com/is/image/MCY/14346481 ")</f>
        <v xml:space="preserve">http://slimages.macys.com/is/image/MCY/14346481 </v>
      </c>
    </row>
    <row r="563" spans="1:12" ht="24.75" x14ac:dyDescent="0.25">
      <c r="A563" s="6" t="s">
        <v>6979</v>
      </c>
      <c r="B563" s="3" t="s">
        <v>6967</v>
      </c>
      <c r="C563" s="4">
        <v>2</v>
      </c>
      <c r="D563" s="5">
        <v>10</v>
      </c>
      <c r="E563" s="4" t="s">
        <v>6968</v>
      </c>
      <c r="F563" s="3" t="s">
        <v>5572</v>
      </c>
      <c r="G563" s="7" t="s">
        <v>5898</v>
      </c>
      <c r="H563" s="3" t="s">
        <v>6632</v>
      </c>
      <c r="I563" s="3" t="s">
        <v>6969</v>
      </c>
      <c r="J563" s="3" t="s">
        <v>5536</v>
      </c>
      <c r="K563" s="3" t="s">
        <v>6970</v>
      </c>
      <c r="L563" s="8" t="str">
        <f>HYPERLINK("http://slimages.macys.com/is/image/MCY/13811905 ")</f>
        <v xml:space="preserve">http://slimages.macys.com/is/image/MCY/13811905 </v>
      </c>
    </row>
    <row r="564" spans="1:12" ht="24.75" x14ac:dyDescent="0.25">
      <c r="A564" s="6" t="s">
        <v>6980</v>
      </c>
      <c r="B564" s="3" t="s">
        <v>6981</v>
      </c>
      <c r="C564" s="4">
        <v>10</v>
      </c>
      <c r="D564" s="5">
        <v>50</v>
      </c>
      <c r="E564" s="4" t="s">
        <v>6982</v>
      </c>
      <c r="F564" s="3" t="s">
        <v>6983</v>
      </c>
      <c r="G564" s="7" t="s">
        <v>5898</v>
      </c>
      <c r="H564" s="3" t="s">
        <v>6632</v>
      </c>
      <c r="I564" s="3" t="s">
        <v>6969</v>
      </c>
      <c r="J564" s="3" t="s">
        <v>5536</v>
      </c>
      <c r="K564" s="3" t="s">
        <v>6970</v>
      </c>
      <c r="L564" s="8" t="str">
        <f>HYPERLINK("http://slimages.macys.com/is/image/MCY/12734470 ")</f>
        <v xml:space="preserve">http://slimages.macys.com/is/image/MCY/12734470 </v>
      </c>
    </row>
    <row r="565" spans="1:12" ht="24.75" x14ac:dyDescent="0.25">
      <c r="A565" s="6" t="s">
        <v>6984</v>
      </c>
      <c r="B565" s="3" t="s">
        <v>6985</v>
      </c>
      <c r="C565" s="4">
        <v>11</v>
      </c>
      <c r="D565" s="5">
        <v>55</v>
      </c>
      <c r="E565" s="4" t="s">
        <v>6986</v>
      </c>
      <c r="F565" s="3" t="s">
        <v>5745</v>
      </c>
      <c r="G565" s="7" t="s">
        <v>5898</v>
      </c>
      <c r="H565" s="3" t="s">
        <v>6632</v>
      </c>
      <c r="I565" s="3" t="s">
        <v>6969</v>
      </c>
      <c r="J565" s="3" t="s">
        <v>5536</v>
      </c>
      <c r="K565" s="3" t="s">
        <v>6974</v>
      </c>
      <c r="L565" s="8" t="str">
        <f>HYPERLINK("http://slimages.macys.com/is/image/MCY/9843724 ")</f>
        <v xml:space="preserve">http://slimages.macys.com/is/image/MCY/9843724 </v>
      </c>
    </row>
    <row r="566" spans="1:12" ht="24.75" x14ac:dyDescent="0.25">
      <c r="A566" s="6" t="s">
        <v>6987</v>
      </c>
      <c r="B566" s="3" t="s">
        <v>6988</v>
      </c>
      <c r="C566" s="4">
        <v>2</v>
      </c>
      <c r="D566" s="5">
        <v>10</v>
      </c>
      <c r="E566" s="4" t="s">
        <v>6989</v>
      </c>
      <c r="F566" s="3" t="s">
        <v>5610</v>
      </c>
      <c r="G566" s="7" t="s">
        <v>5898</v>
      </c>
      <c r="H566" s="3" t="s">
        <v>6632</v>
      </c>
      <c r="I566" s="3" t="s">
        <v>6969</v>
      </c>
      <c r="J566" s="3" t="s">
        <v>5536</v>
      </c>
      <c r="K566" s="3" t="s">
        <v>6990</v>
      </c>
      <c r="L566" s="8" t="str">
        <f>HYPERLINK("http://slimages.macys.com/is/image/MCY/13811818 ")</f>
        <v xml:space="preserve">http://slimages.macys.com/is/image/MCY/13811818 </v>
      </c>
    </row>
    <row r="567" spans="1:12" ht="24.75" x14ac:dyDescent="0.25">
      <c r="A567" s="6" t="s">
        <v>6991</v>
      </c>
      <c r="B567" s="3" t="s">
        <v>6992</v>
      </c>
      <c r="C567" s="4">
        <v>3</v>
      </c>
      <c r="D567" s="5">
        <v>15</v>
      </c>
      <c r="E567" s="4" t="s">
        <v>6993</v>
      </c>
      <c r="F567" s="3" t="s">
        <v>5604</v>
      </c>
      <c r="G567" s="7" t="s">
        <v>5898</v>
      </c>
      <c r="H567" s="3" t="s">
        <v>6632</v>
      </c>
      <c r="I567" s="3" t="s">
        <v>6969</v>
      </c>
      <c r="J567" s="3" t="s">
        <v>5536</v>
      </c>
      <c r="K567" s="3" t="s">
        <v>6994</v>
      </c>
      <c r="L567" s="8" t="str">
        <f>HYPERLINK("http://slimages.macys.com/is/image/MCY/14345413 ")</f>
        <v xml:space="preserve">http://slimages.macys.com/is/image/MCY/14345413 </v>
      </c>
    </row>
    <row r="568" spans="1:12" ht="24.75" x14ac:dyDescent="0.25">
      <c r="A568" s="6" t="s">
        <v>6995</v>
      </c>
      <c r="B568" s="3" t="s">
        <v>6985</v>
      </c>
      <c r="C568" s="4">
        <v>26</v>
      </c>
      <c r="D568" s="5">
        <v>130</v>
      </c>
      <c r="E568" s="4" t="s">
        <v>6986</v>
      </c>
      <c r="F568" s="3" t="s">
        <v>5661</v>
      </c>
      <c r="G568" s="7" t="s">
        <v>5898</v>
      </c>
      <c r="H568" s="3" t="s">
        <v>6632</v>
      </c>
      <c r="I568" s="3" t="s">
        <v>6969</v>
      </c>
      <c r="J568" s="3" t="s">
        <v>5536</v>
      </c>
      <c r="K568" s="3" t="s">
        <v>6974</v>
      </c>
      <c r="L568" s="8" t="str">
        <f>HYPERLINK("http://slimages.macys.com/is/image/MCY/9843724 ")</f>
        <v xml:space="preserve">http://slimages.macys.com/is/image/MCY/9843724 </v>
      </c>
    </row>
    <row r="569" spans="1:12" ht="24.75" x14ac:dyDescent="0.25">
      <c r="A569" s="6" t="s">
        <v>6996</v>
      </c>
      <c r="B569" s="3" t="s">
        <v>6985</v>
      </c>
      <c r="C569" s="4">
        <v>1</v>
      </c>
      <c r="D569" s="5">
        <v>5</v>
      </c>
      <c r="E569" s="4" t="s">
        <v>6986</v>
      </c>
      <c r="F569" s="3" t="s">
        <v>5532</v>
      </c>
      <c r="G569" s="7" t="s">
        <v>5898</v>
      </c>
      <c r="H569" s="3" t="s">
        <v>6632</v>
      </c>
      <c r="I569" s="3" t="s">
        <v>6969</v>
      </c>
      <c r="J569" s="3" t="s">
        <v>5536</v>
      </c>
      <c r="K569" s="3" t="s">
        <v>6974</v>
      </c>
      <c r="L569" s="8" t="str">
        <f>HYPERLINK("http://slimages.macys.com/is/image/MCY/9843724 ")</f>
        <v xml:space="preserve">http://slimages.macys.com/is/image/MCY/9843724 </v>
      </c>
    </row>
    <row r="570" spans="1:12" ht="24.75" x14ac:dyDescent="0.25">
      <c r="A570" s="6" t="s">
        <v>6997</v>
      </c>
      <c r="B570" s="3" t="s">
        <v>6998</v>
      </c>
      <c r="C570" s="4">
        <v>8</v>
      </c>
      <c r="D570" s="5">
        <v>40</v>
      </c>
      <c r="E570" s="4" t="s">
        <v>6999</v>
      </c>
      <c r="F570" s="3" t="s">
        <v>5820</v>
      </c>
      <c r="G570" s="7" t="s">
        <v>5898</v>
      </c>
      <c r="H570" s="3" t="s">
        <v>6632</v>
      </c>
      <c r="I570" s="3" t="s">
        <v>6969</v>
      </c>
      <c r="J570" s="3" t="s">
        <v>5536</v>
      </c>
      <c r="K570" s="3" t="s">
        <v>6974</v>
      </c>
      <c r="L570" s="8" t="str">
        <f>HYPERLINK("http://slimages.macys.com/is/image/MCY/13740491 ")</f>
        <v xml:space="preserve">http://slimages.macys.com/is/image/MCY/13740491 </v>
      </c>
    </row>
    <row r="571" spans="1:12" ht="24.75" x14ac:dyDescent="0.25">
      <c r="A571" s="6" t="s">
        <v>7000</v>
      </c>
      <c r="B571" s="3" t="s">
        <v>6967</v>
      </c>
      <c r="C571" s="4">
        <v>1</v>
      </c>
      <c r="D571" s="5">
        <v>5</v>
      </c>
      <c r="E571" s="4" t="s">
        <v>6968</v>
      </c>
      <c r="F571" s="3" t="s">
        <v>5820</v>
      </c>
      <c r="G571" s="7" t="s">
        <v>5898</v>
      </c>
      <c r="H571" s="3" t="s">
        <v>6632</v>
      </c>
      <c r="I571" s="3" t="s">
        <v>6969</v>
      </c>
      <c r="J571" s="3" t="s">
        <v>5536</v>
      </c>
      <c r="K571" s="3" t="s">
        <v>6970</v>
      </c>
      <c r="L571" s="8" t="str">
        <f>HYPERLINK("http://slimages.macys.com/is/image/MCY/13811905 ")</f>
        <v xml:space="preserve">http://slimages.macys.com/is/image/MCY/13811905 </v>
      </c>
    </row>
    <row r="572" spans="1:12" ht="24.75" x14ac:dyDescent="0.25">
      <c r="A572" s="6" t="s">
        <v>7001</v>
      </c>
      <c r="B572" s="3" t="s">
        <v>7002</v>
      </c>
      <c r="C572" s="4">
        <v>4</v>
      </c>
      <c r="D572" s="5">
        <v>20</v>
      </c>
      <c r="E572" s="4" t="s">
        <v>7003</v>
      </c>
      <c r="F572" s="3" t="s">
        <v>5540</v>
      </c>
      <c r="G572" s="7" t="s">
        <v>5898</v>
      </c>
      <c r="H572" s="3" t="s">
        <v>6632</v>
      </c>
      <c r="I572" s="3" t="s">
        <v>6969</v>
      </c>
      <c r="J572" s="3" t="s">
        <v>5536</v>
      </c>
      <c r="K572" s="3" t="s">
        <v>7004</v>
      </c>
      <c r="L572" s="8" t="str">
        <f>HYPERLINK("http://slimages.macys.com/is/image/MCY/13811998 ")</f>
        <v xml:space="preserve">http://slimages.macys.com/is/image/MCY/13811998 </v>
      </c>
    </row>
    <row r="573" spans="1:12" ht="24.75" x14ac:dyDescent="0.25">
      <c r="A573" s="6" t="s">
        <v>7005</v>
      </c>
      <c r="B573" s="3" t="s">
        <v>7006</v>
      </c>
      <c r="C573" s="4">
        <v>6</v>
      </c>
      <c r="D573" s="5">
        <v>30</v>
      </c>
      <c r="E573" s="4" t="s">
        <v>7007</v>
      </c>
      <c r="F573" s="3" t="s">
        <v>5540</v>
      </c>
      <c r="G573" s="7" t="s">
        <v>5898</v>
      </c>
      <c r="H573" s="3" t="s">
        <v>6632</v>
      </c>
      <c r="I573" s="3" t="s">
        <v>6969</v>
      </c>
      <c r="J573" s="3" t="s">
        <v>5536</v>
      </c>
      <c r="K573" s="3" t="s">
        <v>6970</v>
      </c>
      <c r="L573" s="8" t="str">
        <f>HYPERLINK("http://slimages.macys.com/is/image/MCY/13811882 ")</f>
        <v xml:space="preserve">http://slimages.macys.com/is/image/MCY/13811882 </v>
      </c>
    </row>
    <row r="574" spans="1:12" ht="24.75" x14ac:dyDescent="0.25">
      <c r="A574" s="6" t="s">
        <v>7008</v>
      </c>
      <c r="B574" s="3" t="s">
        <v>6992</v>
      </c>
      <c r="C574" s="4">
        <v>2</v>
      </c>
      <c r="D574" s="5">
        <v>10</v>
      </c>
      <c r="E574" s="4" t="s">
        <v>6993</v>
      </c>
      <c r="F574" s="3" t="s">
        <v>5540</v>
      </c>
      <c r="G574" s="7" t="s">
        <v>5898</v>
      </c>
      <c r="H574" s="3" t="s">
        <v>6632</v>
      </c>
      <c r="I574" s="3" t="s">
        <v>6969</v>
      </c>
      <c r="J574" s="3" t="s">
        <v>5536</v>
      </c>
      <c r="K574" s="3" t="s">
        <v>6994</v>
      </c>
      <c r="L574" s="8" t="str">
        <f>HYPERLINK("http://slimages.macys.com/is/image/MCY/14345413 ")</f>
        <v xml:space="preserve">http://slimages.macys.com/is/image/MCY/14345413 </v>
      </c>
    </row>
    <row r="575" spans="1:12" ht="24.75" x14ac:dyDescent="0.25">
      <c r="A575" s="6" t="s">
        <v>7009</v>
      </c>
      <c r="B575" s="3" t="s">
        <v>6992</v>
      </c>
      <c r="C575" s="4">
        <v>2</v>
      </c>
      <c r="D575" s="5">
        <v>10</v>
      </c>
      <c r="E575" s="4" t="s">
        <v>6993</v>
      </c>
      <c r="F575" s="3" t="s">
        <v>7010</v>
      </c>
      <c r="G575" s="7" t="s">
        <v>5898</v>
      </c>
      <c r="H575" s="3" t="s">
        <v>6632</v>
      </c>
      <c r="I575" s="3" t="s">
        <v>6969</v>
      </c>
      <c r="J575" s="3" t="s">
        <v>5536</v>
      </c>
      <c r="K575" s="3" t="s">
        <v>6994</v>
      </c>
      <c r="L575" s="8" t="str">
        <f>HYPERLINK("http://slimages.macys.com/is/image/MCY/14345413 ")</f>
        <v xml:space="preserve">http://slimages.macys.com/is/image/MCY/14345413 </v>
      </c>
    </row>
    <row r="576" spans="1:12" ht="24.75" x14ac:dyDescent="0.25">
      <c r="A576" s="6" t="s">
        <v>7011</v>
      </c>
      <c r="B576" s="3" t="s">
        <v>7012</v>
      </c>
      <c r="C576" s="4">
        <v>1</v>
      </c>
      <c r="D576" s="5">
        <v>5</v>
      </c>
      <c r="E576" s="4" t="s">
        <v>7013</v>
      </c>
      <c r="F576" s="3" t="s">
        <v>5540</v>
      </c>
      <c r="G576" s="7" t="s">
        <v>5898</v>
      </c>
      <c r="H576" s="3" t="s">
        <v>6632</v>
      </c>
      <c r="I576" s="3" t="s">
        <v>6969</v>
      </c>
      <c r="J576" s="3" t="s">
        <v>5536</v>
      </c>
      <c r="K576" s="3" t="s">
        <v>7014</v>
      </c>
      <c r="L576" s="8" t="str">
        <f>HYPERLINK("http://slimages.macys.com/is/image/MCY/15501722 ")</f>
        <v xml:space="preserve">http://slimages.macys.com/is/image/MCY/15501722 </v>
      </c>
    </row>
    <row r="577" spans="1:12" ht="24.75" x14ac:dyDescent="0.25">
      <c r="A577" s="6" t="s">
        <v>7015</v>
      </c>
      <c r="B577" s="3" t="s">
        <v>7016</v>
      </c>
      <c r="C577" s="4">
        <v>2</v>
      </c>
      <c r="D577" s="5">
        <v>10</v>
      </c>
      <c r="E577" s="4">
        <v>100012398</v>
      </c>
      <c r="F577" s="3" t="s">
        <v>5661</v>
      </c>
      <c r="G577" s="7" t="s">
        <v>5898</v>
      </c>
      <c r="H577" s="3" t="s">
        <v>6632</v>
      </c>
      <c r="I577" s="3" t="s">
        <v>6969</v>
      </c>
      <c r="J577" s="3" t="s">
        <v>5536</v>
      </c>
      <c r="K577" s="3" t="s">
        <v>6970</v>
      </c>
      <c r="L577" s="8" t="str">
        <f>HYPERLINK("http://slimages.macys.com/is/image/MCY/9262440 ")</f>
        <v xml:space="preserve">http://slimages.macys.com/is/image/MCY/9262440 </v>
      </c>
    </row>
    <row r="578" spans="1:12" ht="24.75" x14ac:dyDescent="0.25">
      <c r="A578" s="6" t="s">
        <v>7017</v>
      </c>
      <c r="B578" s="3" t="s">
        <v>7018</v>
      </c>
      <c r="C578" s="4">
        <v>1</v>
      </c>
      <c r="D578" s="5">
        <v>449.99</v>
      </c>
      <c r="E578" s="4" t="s">
        <v>7019</v>
      </c>
      <c r="F578" s="3" t="s">
        <v>5820</v>
      </c>
      <c r="G578" s="7"/>
      <c r="H578" s="3" t="s">
        <v>5862</v>
      </c>
      <c r="I578" s="3" t="s">
        <v>7020</v>
      </c>
      <c r="J578" s="3"/>
      <c r="K578" s="3"/>
      <c r="L578" s="8"/>
    </row>
    <row r="579" spans="1:12" x14ac:dyDescent="0.25">
      <c r="A579" s="6" t="s">
        <v>7021</v>
      </c>
      <c r="B579" s="3" t="s">
        <v>7022</v>
      </c>
      <c r="C579" s="4">
        <v>1</v>
      </c>
      <c r="D579" s="5">
        <v>69.5</v>
      </c>
      <c r="E579" s="4">
        <v>181810074</v>
      </c>
      <c r="F579" s="3" t="s">
        <v>5532</v>
      </c>
      <c r="G579" s="7" t="s">
        <v>5682</v>
      </c>
      <c r="H579" s="3" t="s">
        <v>5606</v>
      </c>
      <c r="I579" s="3" t="s">
        <v>5607</v>
      </c>
      <c r="J579" s="3"/>
      <c r="K579" s="3"/>
      <c r="L579" s="8"/>
    </row>
    <row r="580" spans="1:12" x14ac:dyDescent="0.25">
      <c r="A580" s="6" t="s">
        <v>7023</v>
      </c>
      <c r="B580" s="3" t="s">
        <v>7024</v>
      </c>
      <c r="C580" s="4">
        <v>2</v>
      </c>
      <c r="D580" s="5">
        <v>69.98</v>
      </c>
      <c r="E580" s="4" t="s">
        <v>7025</v>
      </c>
      <c r="F580" s="3" t="s">
        <v>5566</v>
      </c>
      <c r="G580" s="7" t="s">
        <v>5596</v>
      </c>
      <c r="H580" s="3" t="s">
        <v>5606</v>
      </c>
      <c r="I580" s="3" t="s">
        <v>5914</v>
      </c>
      <c r="J580" s="3"/>
      <c r="K580" s="3"/>
      <c r="L580" s="8"/>
    </row>
    <row r="581" spans="1:12" x14ac:dyDescent="0.25">
      <c r="A581" s="6" t="s">
        <v>7026</v>
      </c>
      <c r="B581" s="3" t="s">
        <v>7027</v>
      </c>
      <c r="C581" s="4">
        <v>2</v>
      </c>
      <c r="D581" s="5">
        <v>69.98</v>
      </c>
      <c r="E581" s="4" t="s">
        <v>7028</v>
      </c>
      <c r="F581" s="3"/>
      <c r="G581" s="7" t="s">
        <v>5596</v>
      </c>
      <c r="H581" s="3" t="s">
        <v>5606</v>
      </c>
      <c r="I581" s="3" t="s">
        <v>5914</v>
      </c>
      <c r="J581" s="3"/>
      <c r="K581" s="3"/>
      <c r="L581" s="8"/>
    </row>
    <row r="582" spans="1:12" ht="24.75" x14ac:dyDescent="0.25">
      <c r="A582" s="6" t="s">
        <v>7029</v>
      </c>
      <c r="B582" s="3" t="s">
        <v>7030</v>
      </c>
      <c r="C582" s="4">
        <v>1</v>
      </c>
      <c r="D582" s="5">
        <v>24.99</v>
      </c>
      <c r="E582" s="4">
        <v>10008577800</v>
      </c>
      <c r="F582" s="3" t="s">
        <v>5661</v>
      </c>
      <c r="G582" s="7" t="s">
        <v>6252</v>
      </c>
      <c r="H582" s="3" t="s">
        <v>6652</v>
      </c>
      <c r="I582" s="3" t="s">
        <v>6673</v>
      </c>
      <c r="J582" s="3"/>
      <c r="K582" s="3"/>
      <c r="L582" s="8"/>
    </row>
  </sheetData>
  <phoneticPr fontId="0" type="noConversion"/>
  <pageMargins left="0.5" right="0.5" top="0.25" bottom="0.25" header="0.3" footer="0.3"/>
  <pageSetup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438"/>
  <sheetViews>
    <sheetView topLeftCell="A16" workbookViewId="0">
      <selection activeCell="E18" sqref="E18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2.57031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24.75" x14ac:dyDescent="0.25">
      <c r="A2" s="6" t="s">
        <v>7031</v>
      </c>
      <c r="B2" s="3" t="s">
        <v>7032</v>
      </c>
      <c r="C2" s="4">
        <v>1</v>
      </c>
      <c r="D2" s="5">
        <v>148</v>
      </c>
      <c r="E2" s="4">
        <v>710792889004</v>
      </c>
      <c r="F2" s="3" t="s">
        <v>5625</v>
      </c>
      <c r="G2" s="7" t="s">
        <v>5533</v>
      </c>
      <c r="H2" s="3" t="s">
        <v>5534</v>
      </c>
      <c r="I2" s="3" t="s">
        <v>5535</v>
      </c>
      <c r="J2" s="3" t="s">
        <v>5536</v>
      </c>
      <c r="K2" s="3" t="s">
        <v>6610</v>
      </c>
      <c r="L2" s="8" t="str">
        <f>HYPERLINK("http://slimages.macys.com/is/image/MCY/16417118 ")</f>
        <v xml:space="preserve">http://slimages.macys.com/is/image/MCY/16417118 </v>
      </c>
    </row>
    <row r="3" spans="1:12" ht="36.75" x14ac:dyDescent="0.25">
      <c r="A3" s="6" t="s">
        <v>7033</v>
      </c>
      <c r="B3" s="3" t="s">
        <v>7034</v>
      </c>
      <c r="C3" s="4">
        <v>1</v>
      </c>
      <c r="D3" s="5">
        <v>144.99</v>
      </c>
      <c r="E3" s="4" t="s">
        <v>7035</v>
      </c>
      <c r="F3" s="3" t="s">
        <v>5540</v>
      </c>
      <c r="G3" s="7" t="s">
        <v>7036</v>
      </c>
      <c r="H3" s="3" t="s">
        <v>7037</v>
      </c>
      <c r="I3" s="3" t="s">
        <v>5863</v>
      </c>
      <c r="J3" s="3" t="s">
        <v>5536</v>
      </c>
      <c r="K3" s="3" t="s">
        <v>7038</v>
      </c>
      <c r="L3" s="8" t="str">
        <f>HYPERLINK("http://slimages.macys.com/is/image/MCY/14840927 ")</f>
        <v xml:space="preserve">http://slimages.macys.com/is/image/MCY/14840927 </v>
      </c>
    </row>
    <row r="4" spans="1:12" ht="36.75" x14ac:dyDescent="0.25">
      <c r="A4" s="6" t="s">
        <v>7039</v>
      </c>
      <c r="B4" s="3" t="s">
        <v>7040</v>
      </c>
      <c r="C4" s="4">
        <v>1</v>
      </c>
      <c r="D4" s="5">
        <v>119</v>
      </c>
      <c r="E4" s="4" t="s">
        <v>7041</v>
      </c>
      <c r="F4" s="3" t="s">
        <v>5532</v>
      </c>
      <c r="G4" s="7" t="s">
        <v>5626</v>
      </c>
      <c r="H4" s="3" t="s">
        <v>7042</v>
      </c>
      <c r="I4" s="3" t="s">
        <v>7043</v>
      </c>
      <c r="J4" s="3" t="s">
        <v>5536</v>
      </c>
      <c r="K4" s="3" t="s">
        <v>7044</v>
      </c>
      <c r="L4" s="8" t="str">
        <f>HYPERLINK("http://slimages.macys.com/is/image/MCY/16668251 ")</f>
        <v xml:space="preserve">http://slimages.macys.com/is/image/MCY/16668251 </v>
      </c>
    </row>
    <row r="5" spans="1:12" x14ac:dyDescent="0.25">
      <c r="A5" s="6" t="s">
        <v>7045</v>
      </c>
      <c r="B5" s="3" t="s">
        <v>6487</v>
      </c>
      <c r="C5" s="4">
        <v>1</v>
      </c>
      <c r="D5" s="5">
        <v>110</v>
      </c>
      <c r="E5" s="4">
        <v>710701611030</v>
      </c>
      <c r="F5" s="3" t="s">
        <v>5532</v>
      </c>
      <c r="G5" s="7" t="s">
        <v>5533</v>
      </c>
      <c r="H5" s="3" t="s">
        <v>5534</v>
      </c>
      <c r="I5" s="3" t="s">
        <v>5535</v>
      </c>
      <c r="J5" s="3" t="s">
        <v>5536</v>
      </c>
      <c r="K5" s="3" t="s">
        <v>5553</v>
      </c>
      <c r="L5" s="8" t="str">
        <f>HYPERLINK("http://slimages.macys.com/is/image/MCY/10002586 ")</f>
        <v xml:space="preserve">http://slimages.macys.com/is/image/MCY/10002586 </v>
      </c>
    </row>
    <row r="6" spans="1:12" ht="24.75" x14ac:dyDescent="0.25">
      <c r="A6" s="6" t="s">
        <v>7046</v>
      </c>
      <c r="B6" s="3" t="s">
        <v>7047</v>
      </c>
      <c r="C6" s="4">
        <v>1</v>
      </c>
      <c r="D6" s="5">
        <v>89</v>
      </c>
      <c r="E6" s="4" t="s">
        <v>7048</v>
      </c>
      <c r="F6" s="3" t="s">
        <v>5552</v>
      </c>
      <c r="G6" s="7" t="s">
        <v>5598</v>
      </c>
      <c r="H6" s="3" t="s">
        <v>5868</v>
      </c>
      <c r="I6" s="3" t="s">
        <v>5869</v>
      </c>
      <c r="J6" s="3" t="s">
        <v>5536</v>
      </c>
      <c r="K6" s="3" t="s">
        <v>5574</v>
      </c>
      <c r="L6" s="8" t="str">
        <f>HYPERLINK("http://slimages.macys.com/is/image/MCY/15161154 ")</f>
        <v xml:space="preserve">http://slimages.macys.com/is/image/MCY/15161154 </v>
      </c>
    </row>
    <row r="7" spans="1:12" ht="24.75" x14ac:dyDescent="0.25">
      <c r="A7" s="6" t="s">
        <v>7049</v>
      </c>
      <c r="B7" s="3" t="s">
        <v>7050</v>
      </c>
      <c r="C7" s="4">
        <v>1</v>
      </c>
      <c r="D7" s="5">
        <v>99.99</v>
      </c>
      <c r="E7" s="4" t="s">
        <v>7051</v>
      </c>
      <c r="F7" s="3" t="s">
        <v>5572</v>
      </c>
      <c r="G7" s="7" t="s">
        <v>7052</v>
      </c>
      <c r="H7" s="3" t="s">
        <v>7053</v>
      </c>
      <c r="I7" s="3" t="s">
        <v>7054</v>
      </c>
      <c r="J7" s="3" t="s">
        <v>5536</v>
      </c>
      <c r="K7" s="3" t="s">
        <v>5727</v>
      </c>
      <c r="L7" s="8" t="str">
        <f>HYPERLINK("http://slimages.macys.com/is/image/MCY/11252443 ")</f>
        <v xml:space="preserve">http://slimages.macys.com/is/image/MCY/11252443 </v>
      </c>
    </row>
    <row r="8" spans="1:12" ht="36.75" x14ac:dyDescent="0.25">
      <c r="A8" s="6" t="s">
        <v>7055</v>
      </c>
      <c r="B8" s="3" t="s">
        <v>7056</v>
      </c>
      <c r="C8" s="4">
        <v>1</v>
      </c>
      <c r="D8" s="5">
        <v>110</v>
      </c>
      <c r="E8" s="4" t="s">
        <v>7057</v>
      </c>
      <c r="F8" s="3" t="s">
        <v>5803</v>
      </c>
      <c r="G8" s="7" t="s">
        <v>7058</v>
      </c>
      <c r="H8" s="3" t="s">
        <v>7059</v>
      </c>
      <c r="I8" s="3" t="s">
        <v>7060</v>
      </c>
      <c r="J8" s="3" t="s">
        <v>5536</v>
      </c>
      <c r="K8" s="3" t="s">
        <v>7061</v>
      </c>
      <c r="L8" s="8" t="str">
        <f>HYPERLINK("http://slimages.macys.com/is/image/MCY/14441917 ")</f>
        <v xml:space="preserve">http://slimages.macys.com/is/image/MCY/14441917 </v>
      </c>
    </row>
    <row r="9" spans="1:12" ht="24.75" x14ac:dyDescent="0.25">
      <c r="A9" s="6" t="s">
        <v>7062</v>
      </c>
      <c r="B9" s="3" t="s">
        <v>7063</v>
      </c>
      <c r="C9" s="4">
        <v>1</v>
      </c>
      <c r="D9" s="5">
        <v>128</v>
      </c>
      <c r="E9" s="4" t="s">
        <v>7064</v>
      </c>
      <c r="F9" s="3" t="s">
        <v>5793</v>
      </c>
      <c r="G9" s="7" t="s">
        <v>5562</v>
      </c>
      <c r="H9" s="3" t="s">
        <v>5617</v>
      </c>
      <c r="I9" s="3" t="s">
        <v>5618</v>
      </c>
      <c r="J9" s="3" t="s">
        <v>5536</v>
      </c>
      <c r="K9" s="3" t="s">
        <v>5549</v>
      </c>
      <c r="L9" s="8" t="str">
        <f>HYPERLINK("http://slimages.macys.com/is/image/MCY/15956204 ")</f>
        <v xml:space="preserve">http://slimages.macys.com/is/image/MCY/15956204 </v>
      </c>
    </row>
    <row r="10" spans="1:12" ht="24.75" x14ac:dyDescent="0.25">
      <c r="A10" s="6" t="s">
        <v>7065</v>
      </c>
      <c r="B10" s="3" t="s">
        <v>7063</v>
      </c>
      <c r="C10" s="4">
        <v>1</v>
      </c>
      <c r="D10" s="5">
        <v>128</v>
      </c>
      <c r="E10" s="4" t="s">
        <v>7064</v>
      </c>
      <c r="F10" s="3" t="s">
        <v>5793</v>
      </c>
      <c r="G10" s="7" t="s">
        <v>5598</v>
      </c>
      <c r="H10" s="3" t="s">
        <v>5617</v>
      </c>
      <c r="I10" s="3" t="s">
        <v>5618</v>
      </c>
      <c r="J10" s="3" t="s">
        <v>5536</v>
      </c>
      <c r="K10" s="3" t="s">
        <v>5549</v>
      </c>
      <c r="L10" s="8" t="str">
        <f>HYPERLINK("http://slimages.macys.com/is/image/MCY/15956204 ")</f>
        <v xml:space="preserve">http://slimages.macys.com/is/image/MCY/15956204 </v>
      </c>
    </row>
    <row r="11" spans="1:12" ht="24.75" x14ac:dyDescent="0.25">
      <c r="A11" s="6" t="s">
        <v>7066</v>
      </c>
      <c r="B11" s="3" t="s">
        <v>7067</v>
      </c>
      <c r="C11" s="4">
        <v>1</v>
      </c>
      <c r="D11" s="5">
        <v>89.5</v>
      </c>
      <c r="E11" s="4">
        <v>710671679026</v>
      </c>
      <c r="F11" s="3" t="s">
        <v>5661</v>
      </c>
      <c r="G11" s="7" t="s">
        <v>5562</v>
      </c>
      <c r="H11" s="3" t="s">
        <v>5534</v>
      </c>
      <c r="I11" s="3" t="s">
        <v>5535</v>
      </c>
      <c r="J11" s="3" t="s">
        <v>5536</v>
      </c>
      <c r="K11" s="3" t="s">
        <v>5549</v>
      </c>
      <c r="L11" s="8" t="str">
        <f>HYPERLINK("http://slimages.macys.com/is/image/MCY/13530329 ")</f>
        <v xml:space="preserve">http://slimages.macys.com/is/image/MCY/13530329 </v>
      </c>
    </row>
    <row r="12" spans="1:12" x14ac:dyDescent="0.25">
      <c r="A12" s="6" t="s">
        <v>7068</v>
      </c>
      <c r="B12" s="3" t="s">
        <v>7069</v>
      </c>
      <c r="C12" s="4">
        <v>1</v>
      </c>
      <c r="D12" s="5">
        <v>149.5</v>
      </c>
      <c r="E12" s="4">
        <v>100082462</v>
      </c>
      <c r="F12" s="3" t="s">
        <v>6335</v>
      </c>
      <c r="G12" s="7" t="s">
        <v>5533</v>
      </c>
      <c r="H12" s="3" t="s">
        <v>5585</v>
      </c>
      <c r="I12" s="3" t="s">
        <v>5586</v>
      </c>
      <c r="J12" s="3" t="s">
        <v>5536</v>
      </c>
      <c r="K12" s="3" t="s">
        <v>5587</v>
      </c>
      <c r="L12" s="8" t="str">
        <f>HYPERLINK("http://slimages.macys.com/is/image/MCY/15949399 ")</f>
        <v xml:space="preserve">http://slimages.macys.com/is/image/MCY/15949399 </v>
      </c>
    </row>
    <row r="13" spans="1:12" x14ac:dyDescent="0.25">
      <c r="A13" s="6" t="s">
        <v>7070</v>
      </c>
      <c r="B13" s="3" t="s">
        <v>7069</v>
      </c>
      <c r="C13" s="4">
        <v>2</v>
      </c>
      <c r="D13" s="5">
        <v>299</v>
      </c>
      <c r="E13" s="4">
        <v>100082462</v>
      </c>
      <c r="F13" s="3" t="s">
        <v>6335</v>
      </c>
      <c r="G13" s="7" t="s">
        <v>5596</v>
      </c>
      <c r="H13" s="3" t="s">
        <v>5585</v>
      </c>
      <c r="I13" s="3" t="s">
        <v>5586</v>
      </c>
      <c r="J13" s="3" t="s">
        <v>5536</v>
      </c>
      <c r="K13" s="3" t="s">
        <v>5587</v>
      </c>
      <c r="L13" s="8" t="str">
        <f>HYPERLINK("http://slimages.macys.com/is/image/MCY/15949399 ")</f>
        <v xml:space="preserve">http://slimages.macys.com/is/image/MCY/15949399 </v>
      </c>
    </row>
    <row r="14" spans="1:12" ht="24.75" x14ac:dyDescent="0.25">
      <c r="A14" s="6" t="s">
        <v>7071</v>
      </c>
      <c r="B14" s="3" t="s">
        <v>7072</v>
      </c>
      <c r="C14" s="4">
        <v>1</v>
      </c>
      <c r="D14" s="5">
        <v>99.5</v>
      </c>
      <c r="E14" s="4" t="s">
        <v>7073</v>
      </c>
      <c r="F14" s="3" t="s">
        <v>5540</v>
      </c>
      <c r="G14" s="7" t="s">
        <v>5533</v>
      </c>
      <c r="H14" s="3" t="s">
        <v>7074</v>
      </c>
      <c r="I14" s="3" t="s">
        <v>7075</v>
      </c>
      <c r="J14" s="3" t="s">
        <v>5536</v>
      </c>
      <c r="K14" s="3" t="s">
        <v>5594</v>
      </c>
      <c r="L14" s="8" t="str">
        <f>HYPERLINK("http://slimages.macys.com/is/image/MCY/14798340 ")</f>
        <v xml:space="preserve">http://slimages.macys.com/is/image/MCY/14798340 </v>
      </c>
    </row>
    <row r="15" spans="1:12" ht="24.75" x14ac:dyDescent="0.25">
      <c r="A15" s="6" t="s">
        <v>7076</v>
      </c>
      <c r="B15" s="3" t="s">
        <v>7072</v>
      </c>
      <c r="C15" s="4">
        <v>1</v>
      </c>
      <c r="D15" s="5">
        <v>99.5</v>
      </c>
      <c r="E15" s="4" t="s">
        <v>7073</v>
      </c>
      <c r="F15" s="3" t="s">
        <v>5578</v>
      </c>
      <c r="G15" s="7" t="s">
        <v>5596</v>
      </c>
      <c r="H15" s="3" t="s">
        <v>7074</v>
      </c>
      <c r="I15" s="3" t="s">
        <v>7075</v>
      </c>
      <c r="J15" s="3" t="s">
        <v>5536</v>
      </c>
      <c r="K15" s="3" t="s">
        <v>5594</v>
      </c>
      <c r="L15" s="8" t="str">
        <f>HYPERLINK("http://slimages.macys.com/is/image/MCY/14798340 ")</f>
        <v xml:space="preserve">http://slimages.macys.com/is/image/MCY/14798340 </v>
      </c>
    </row>
    <row r="16" spans="1:12" ht="48.75" x14ac:dyDescent="0.25">
      <c r="A16" s="6" t="s">
        <v>7077</v>
      </c>
      <c r="B16" s="3" t="s">
        <v>5614</v>
      </c>
      <c r="C16" s="4">
        <v>1</v>
      </c>
      <c r="D16" s="5">
        <v>69.989999999999995</v>
      </c>
      <c r="E16" s="4" t="s">
        <v>7078</v>
      </c>
      <c r="F16" s="3" t="s">
        <v>5803</v>
      </c>
      <c r="G16" s="7" t="s">
        <v>5533</v>
      </c>
      <c r="H16" s="3" t="s">
        <v>5617</v>
      </c>
      <c r="I16" s="3" t="s">
        <v>5618</v>
      </c>
      <c r="J16" s="3" t="s">
        <v>5536</v>
      </c>
      <c r="K16" s="3" t="s">
        <v>7079</v>
      </c>
      <c r="L16" s="8" t="str">
        <f>HYPERLINK("http://slimages.macys.com/is/image/MCY/14409109 ")</f>
        <v xml:space="preserve">http://slimages.macys.com/is/image/MCY/14409109 </v>
      </c>
    </row>
    <row r="17" spans="1:12" ht="48.75" x14ac:dyDescent="0.25">
      <c r="A17" s="6" t="s">
        <v>7080</v>
      </c>
      <c r="B17" s="3" t="s">
        <v>7081</v>
      </c>
      <c r="C17" s="4">
        <v>1</v>
      </c>
      <c r="D17" s="5">
        <v>69.989999999999995</v>
      </c>
      <c r="E17" s="4" t="s">
        <v>7082</v>
      </c>
      <c r="F17" s="3" t="s">
        <v>7083</v>
      </c>
      <c r="G17" s="7" t="s">
        <v>5560</v>
      </c>
      <c r="H17" s="3" t="s">
        <v>5617</v>
      </c>
      <c r="I17" s="3" t="s">
        <v>5618</v>
      </c>
      <c r="J17" s="3" t="s">
        <v>5536</v>
      </c>
      <c r="K17" s="3" t="s">
        <v>7084</v>
      </c>
      <c r="L17" s="8" t="str">
        <f>HYPERLINK("http://slimages.macys.com/is/image/MCY/14409300 ")</f>
        <v xml:space="preserve">http://slimages.macys.com/is/image/MCY/14409300 </v>
      </c>
    </row>
    <row r="18" spans="1:12" ht="48.75" x14ac:dyDescent="0.25">
      <c r="A18" s="6" t="s">
        <v>7085</v>
      </c>
      <c r="B18" s="3" t="s">
        <v>7086</v>
      </c>
      <c r="C18" s="4">
        <v>1</v>
      </c>
      <c r="D18" s="5">
        <v>98</v>
      </c>
      <c r="E18" s="4" t="s">
        <v>7087</v>
      </c>
      <c r="F18" s="3" t="s">
        <v>5532</v>
      </c>
      <c r="G18" s="7" t="s">
        <v>5799</v>
      </c>
      <c r="H18" s="3" t="s">
        <v>7088</v>
      </c>
      <c r="I18" s="3" t="s">
        <v>7089</v>
      </c>
      <c r="J18" s="3" t="s">
        <v>5536</v>
      </c>
      <c r="K18" s="3" t="s">
        <v>7090</v>
      </c>
      <c r="L18" s="8" t="str">
        <f>HYPERLINK("http://slimages.macys.com/is/image/MCY/14374324 ")</f>
        <v xml:space="preserve">http://slimages.macys.com/is/image/MCY/14374324 </v>
      </c>
    </row>
    <row r="19" spans="1:12" x14ac:dyDescent="0.25">
      <c r="A19" s="6" t="s">
        <v>7091</v>
      </c>
      <c r="B19" s="3" t="s">
        <v>7092</v>
      </c>
      <c r="C19" s="4">
        <v>1</v>
      </c>
      <c r="D19" s="5">
        <v>149.5</v>
      </c>
      <c r="E19" s="4" t="s">
        <v>7093</v>
      </c>
      <c r="F19" s="3" t="s">
        <v>5540</v>
      </c>
      <c r="G19" s="7" t="s">
        <v>5533</v>
      </c>
      <c r="H19" s="3" t="s">
        <v>5585</v>
      </c>
      <c r="I19" s="3" t="s">
        <v>5586</v>
      </c>
      <c r="J19" s="3" t="s">
        <v>5536</v>
      </c>
      <c r="K19" s="3" t="s">
        <v>5727</v>
      </c>
      <c r="L19" s="8" t="str">
        <f>HYPERLINK("http://slimages.macys.com/is/image/MCY/8877803 ")</f>
        <v xml:space="preserve">http://slimages.macys.com/is/image/MCY/8877803 </v>
      </c>
    </row>
    <row r="20" spans="1:12" x14ac:dyDescent="0.25">
      <c r="A20" s="6" t="s">
        <v>7094</v>
      </c>
      <c r="B20" s="3" t="s">
        <v>7092</v>
      </c>
      <c r="C20" s="4">
        <v>1</v>
      </c>
      <c r="D20" s="5">
        <v>149.5</v>
      </c>
      <c r="E20" s="4" t="s">
        <v>7093</v>
      </c>
      <c r="F20" s="3" t="s">
        <v>5540</v>
      </c>
      <c r="G20" s="7" t="s">
        <v>5560</v>
      </c>
      <c r="H20" s="3" t="s">
        <v>5585</v>
      </c>
      <c r="I20" s="3" t="s">
        <v>5586</v>
      </c>
      <c r="J20" s="3" t="s">
        <v>5536</v>
      </c>
      <c r="K20" s="3" t="s">
        <v>5727</v>
      </c>
      <c r="L20" s="8" t="str">
        <f>HYPERLINK("http://slimages.macys.com/is/image/MCY/8877803 ")</f>
        <v xml:space="preserve">http://slimages.macys.com/is/image/MCY/8877803 </v>
      </c>
    </row>
    <row r="21" spans="1:12" x14ac:dyDescent="0.25">
      <c r="A21" s="6" t="s">
        <v>7095</v>
      </c>
      <c r="B21" s="3" t="s">
        <v>7092</v>
      </c>
      <c r="C21" s="4">
        <v>2</v>
      </c>
      <c r="D21" s="5">
        <v>299</v>
      </c>
      <c r="E21" s="4" t="s">
        <v>7093</v>
      </c>
      <c r="F21" s="3" t="s">
        <v>5540</v>
      </c>
      <c r="G21" s="7" t="s">
        <v>5596</v>
      </c>
      <c r="H21" s="3" t="s">
        <v>5585</v>
      </c>
      <c r="I21" s="3" t="s">
        <v>5586</v>
      </c>
      <c r="J21" s="3" t="s">
        <v>5536</v>
      </c>
      <c r="K21" s="3" t="s">
        <v>5727</v>
      </c>
      <c r="L21" s="8" t="str">
        <f>HYPERLINK("http://slimages.macys.com/is/image/MCY/8877803 ")</f>
        <v xml:space="preserve">http://slimages.macys.com/is/image/MCY/8877803 </v>
      </c>
    </row>
    <row r="22" spans="1:12" ht="36.75" x14ac:dyDescent="0.25">
      <c r="A22" s="6" t="s">
        <v>7096</v>
      </c>
      <c r="B22" s="3" t="s">
        <v>7097</v>
      </c>
      <c r="C22" s="4">
        <v>1</v>
      </c>
      <c r="D22" s="5">
        <v>90</v>
      </c>
      <c r="E22" s="4" t="s">
        <v>7098</v>
      </c>
      <c r="F22" s="3" t="s">
        <v>5532</v>
      </c>
      <c r="G22" s="7" t="s">
        <v>5662</v>
      </c>
      <c r="H22" s="3" t="s">
        <v>7099</v>
      </c>
      <c r="I22" s="3" t="s">
        <v>5934</v>
      </c>
      <c r="J22" s="3" t="s">
        <v>5536</v>
      </c>
      <c r="K22" s="3" t="s">
        <v>7038</v>
      </c>
      <c r="L22" s="8" t="str">
        <f>HYPERLINK("http://slimages.macys.com/is/image/MCY/13612441 ")</f>
        <v xml:space="preserve">http://slimages.macys.com/is/image/MCY/13612441 </v>
      </c>
    </row>
    <row r="23" spans="1:12" ht="24.75" x14ac:dyDescent="0.25">
      <c r="A23" s="6" t="s">
        <v>7100</v>
      </c>
      <c r="B23" s="3" t="s">
        <v>7101</v>
      </c>
      <c r="C23" s="4">
        <v>1</v>
      </c>
      <c r="D23" s="5">
        <v>89.5</v>
      </c>
      <c r="E23" s="4" t="s">
        <v>7102</v>
      </c>
      <c r="F23" s="3" t="s">
        <v>5578</v>
      </c>
      <c r="G23" s="7" t="s">
        <v>7103</v>
      </c>
      <c r="H23" s="3" t="s">
        <v>7088</v>
      </c>
      <c r="I23" s="3" t="s">
        <v>7089</v>
      </c>
      <c r="J23" s="3" t="s">
        <v>5536</v>
      </c>
      <c r="K23" s="3" t="s">
        <v>5553</v>
      </c>
      <c r="L23" s="8" t="str">
        <f>HYPERLINK("http://slimages.macys.com/is/image/MCY/15199806 ")</f>
        <v xml:space="preserve">http://slimages.macys.com/is/image/MCY/15199806 </v>
      </c>
    </row>
    <row r="24" spans="1:12" ht="24.75" x14ac:dyDescent="0.25">
      <c r="A24" s="6" t="s">
        <v>7104</v>
      </c>
      <c r="B24" s="3" t="s">
        <v>7105</v>
      </c>
      <c r="C24" s="4">
        <v>1</v>
      </c>
      <c r="D24" s="5">
        <v>89.5</v>
      </c>
      <c r="E24" s="4" t="s">
        <v>7106</v>
      </c>
      <c r="F24" s="3" t="s">
        <v>5793</v>
      </c>
      <c r="G24" s="7" t="s">
        <v>6626</v>
      </c>
      <c r="H24" s="3" t="s">
        <v>7042</v>
      </c>
      <c r="I24" s="3" t="s">
        <v>7043</v>
      </c>
      <c r="J24" s="3" t="s">
        <v>5536</v>
      </c>
      <c r="K24" s="3" t="s">
        <v>5558</v>
      </c>
      <c r="L24" s="8" t="str">
        <f>HYPERLINK("http://slimages.macys.com/is/image/MCY/1361939 ")</f>
        <v xml:space="preserve">http://slimages.macys.com/is/image/MCY/1361939 </v>
      </c>
    </row>
    <row r="25" spans="1:12" ht="48.75" x14ac:dyDescent="0.25">
      <c r="A25" s="6" t="s">
        <v>7107</v>
      </c>
      <c r="B25" s="3" t="s">
        <v>7108</v>
      </c>
      <c r="C25" s="4">
        <v>1</v>
      </c>
      <c r="D25" s="5">
        <v>179.5</v>
      </c>
      <c r="E25" s="4">
        <v>100065149</v>
      </c>
      <c r="F25" s="3" t="s">
        <v>5625</v>
      </c>
      <c r="G25" s="7" t="s">
        <v>5596</v>
      </c>
      <c r="H25" s="3" t="s">
        <v>5585</v>
      </c>
      <c r="I25" s="3" t="s">
        <v>5586</v>
      </c>
      <c r="J25" s="3" t="s">
        <v>5536</v>
      </c>
      <c r="K25" s="3" t="s">
        <v>7109</v>
      </c>
      <c r="L25" s="8" t="str">
        <f>HYPERLINK("http://slimages.macys.com/is/image/MCY/14633749 ")</f>
        <v xml:space="preserve">http://slimages.macys.com/is/image/MCY/14633749 </v>
      </c>
    </row>
    <row r="26" spans="1:12" x14ac:dyDescent="0.25">
      <c r="A26" s="6" t="s">
        <v>7110</v>
      </c>
      <c r="B26" s="3" t="s">
        <v>7111</v>
      </c>
      <c r="C26" s="4">
        <v>1</v>
      </c>
      <c r="D26" s="5">
        <v>129.5</v>
      </c>
      <c r="E26" s="4">
        <v>100084707</v>
      </c>
      <c r="F26" s="3" t="s">
        <v>5532</v>
      </c>
      <c r="G26" s="7" t="s">
        <v>5562</v>
      </c>
      <c r="H26" s="3" t="s">
        <v>5585</v>
      </c>
      <c r="I26" s="3" t="s">
        <v>5734</v>
      </c>
      <c r="J26" s="3" t="s">
        <v>5536</v>
      </c>
      <c r="K26" s="3" t="s">
        <v>5587</v>
      </c>
      <c r="L26" s="8" t="str">
        <f>HYPERLINK("http://slimages.macys.com/is/image/MCY/15865399 ")</f>
        <v xml:space="preserve">http://slimages.macys.com/is/image/MCY/15865399 </v>
      </c>
    </row>
    <row r="27" spans="1:12" ht="36.75" x14ac:dyDescent="0.25">
      <c r="A27" s="6" t="s">
        <v>7112</v>
      </c>
      <c r="B27" s="3" t="s">
        <v>7113</v>
      </c>
      <c r="C27" s="4">
        <v>1</v>
      </c>
      <c r="D27" s="5">
        <v>69.989999999999995</v>
      </c>
      <c r="E27" s="4" t="s">
        <v>7114</v>
      </c>
      <c r="F27" s="3" t="s">
        <v>5803</v>
      </c>
      <c r="G27" s="7" t="s">
        <v>5598</v>
      </c>
      <c r="H27" s="3" t="s">
        <v>5617</v>
      </c>
      <c r="I27" s="3" t="s">
        <v>5618</v>
      </c>
      <c r="J27" s="3" t="s">
        <v>5536</v>
      </c>
      <c r="K27" s="3" t="s">
        <v>7115</v>
      </c>
      <c r="L27" s="8" t="str">
        <f>HYPERLINK("http://slimages.macys.com/is/image/MCY/14347417 ")</f>
        <v xml:space="preserve">http://slimages.macys.com/is/image/MCY/14347417 </v>
      </c>
    </row>
    <row r="28" spans="1:12" ht="24.75" x14ac:dyDescent="0.25">
      <c r="A28" s="6" t="s">
        <v>7116</v>
      </c>
      <c r="B28" s="3" t="s">
        <v>7117</v>
      </c>
      <c r="C28" s="4">
        <v>1</v>
      </c>
      <c r="D28" s="5">
        <v>65</v>
      </c>
      <c r="E28" s="4">
        <v>1327037</v>
      </c>
      <c r="F28" s="3" t="s">
        <v>5532</v>
      </c>
      <c r="G28" s="7" t="s">
        <v>5562</v>
      </c>
      <c r="H28" s="3" t="s">
        <v>5726</v>
      </c>
      <c r="I28" s="3" t="s">
        <v>5726</v>
      </c>
      <c r="J28" s="3" t="s">
        <v>5536</v>
      </c>
      <c r="K28" s="3" t="s">
        <v>5800</v>
      </c>
      <c r="L28" s="8" t="str">
        <f>HYPERLINK("http://slimages.macys.com/is/image/MCY/12722861 ")</f>
        <v xml:space="preserve">http://slimages.macys.com/is/image/MCY/12722861 </v>
      </c>
    </row>
    <row r="29" spans="1:12" ht="24.75" x14ac:dyDescent="0.25">
      <c r="A29" s="6" t="s">
        <v>7118</v>
      </c>
      <c r="B29" s="3" t="s">
        <v>5633</v>
      </c>
      <c r="C29" s="4">
        <v>1</v>
      </c>
      <c r="D29" s="5">
        <v>53.5</v>
      </c>
      <c r="E29" s="4">
        <v>131510085</v>
      </c>
      <c r="F29" s="3" t="s">
        <v>5634</v>
      </c>
      <c r="G29" s="7" t="s">
        <v>5557</v>
      </c>
      <c r="H29" s="3" t="s">
        <v>5606</v>
      </c>
      <c r="I29" s="3" t="s">
        <v>5607</v>
      </c>
      <c r="J29" s="3" t="s">
        <v>5536</v>
      </c>
      <c r="K29" s="3" t="s">
        <v>5558</v>
      </c>
      <c r="L29" s="8" t="str">
        <f>HYPERLINK("http://slimages.macys.com/is/image/MCY/2977507 ")</f>
        <v xml:space="preserve">http://slimages.macys.com/is/image/MCY/2977507 </v>
      </c>
    </row>
    <row r="30" spans="1:12" ht="24.75" x14ac:dyDescent="0.25">
      <c r="A30" s="6" t="s">
        <v>7119</v>
      </c>
      <c r="B30" s="3" t="s">
        <v>7120</v>
      </c>
      <c r="C30" s="4">
        <v>1</v>
      </c>
      <c r="D30" s="5">
        <v>69.5</v>
      </c>
      <c r="E30" s="4" t="s">
        <v>7121</v>
      </c>
      <c r="F30" s="3" t="s">
        <v>5532</v>
      </c>
      <c r="G30" s="7" t="s">
        <v>5579</v>
      </c>
      <c r="H30" s="3" t="s">
        <v>5715</v>
      </c>
      <c r="I30" s="3" t="s">
        <v>5716</v>
      </c>
      <c r="J30" s="3" t="s">
        <v>5536</v>
      </c>
      <c r="K30" s="3" t="s">
        <v>5558</v>
      </c>
      <c r="L30" s="8" t="str">
        <f>HYPERLINK("http://slimages.macys.com/is/image/MCY/9704939 ")</f>
        <v xml:space="preserve">http://slimages.macys.com/is/image/MCY/9704939 </v>
      </c>
    </row>
    <row r="31" spans="1:12" ht="24.75" x14ac:dyDescent="0.25">
      <c r="A31" s="6" t="s">
        <v>7122</v>
      </c>
      <c r="B31" s="3" t="s">
        <v>7120</v>
      </c>
      <c r="C31" s="4">
        <v>1</v>
      </c>
      <c r="D31" s="5">
        <v>69.5</v>
      </c>
      <c r="E31" s="4" t="s">
        <v>7121</v>
      </c>
      <c r="F31" s="3" t="s">
        <v>5532</v>
      </c>
      <c r="G31" s="7" t="s">
        <v>5629</v>
      </c>
      <c r="H31" s="3" t="s">
        <v>5715</v>
      </c>
      <c r="I31" s="3" t="s">
        <v>5716</v>
      </c>
      <c r="J31" s="3" t="s">
        <v>5536</v>
      </c>
      <c r="K31" s="3" t="s">
        <v>5558</v>
      </c>
      <c r="L31" s="8" t="str">
        <f>HYPERLINK("http://slimages.macys.com/is/image/MCY/9704939 ")</f>
        <v xml:space="preserve">http://slimages.macys.com/is/image/MCY/9704939 </v>
      </c>
    </row>
    <row r="32" spans="1:12" ht="24.75" x14ac:dyDescent="0.25">
      <c r="A32" s="6" t="s">
        <v>7123</v>
      </c>
      <c r="B32" s="3" t="s">
        <v>7124</v>
      </c>
      <c r="C32" s="4">
        <v>1</v>
      </c>
      <c r="D32" s="5">
        <v>70.989999999999995</v>
      </c>
      <c r="E32" s="4" t="s">
        <v>7125</v>
      </c>
      <c r="F32" s="3" t="s">
        <v>5604</v>
      </c>
      <c r="G32" s="7" t="s">
        <v>5830</v>
      </c>
      <c r="H32" s="3" t="s">
        <v>5722</v>
      </c>
      <c r="I32" s="3" t="s">
        <v>5723</v>
      </c>
      <c r="J32" s="3" t="s">
        <v>5536</v>
      </c>
      <c r="K32" s="3" t="s">
        <v>7126</v>
      </c>
      <c r="L32" s="8" t="str">
        <f>HYPERLINK("http://slimages.macys.com/is/image/MCY/15642061 ")</f>
        <v xml:space="preserve">http://slimages.macys.com/is/image/MCY/15642061 </v>
      </c>
    </row>
    <row r="33" spans="1:12" ht="24.75" x14ac:dyDescent="0.25">
      <c r="A33" s="6" t="s">
        <v>7127</v>
      </c>
      <c r="B33" s="3" t="s">
        <v>7128</v>
      </c>
      <c r="C33" s="4">
        <v>1</v>
      </c>
      <c r="D33" s="5">
        <v>70.989999999999995</v>
      </c>
      <c r="E33" s="4" t="s">
        <v>7129</v>
      </c>
      <c r="F33" s="3" t="s">
        <v>5849</v>
      </c>
      <c r="G33" s="7" t="s">
        <v>5755</v>
      </c>
      <c r="H33" s="3" t="s">
        <v>5722</v>
      </c>
      <c r="I33" s="3" t="s">
        <v>5723</v>
      </c>
      <c r="J33" s="3" t="s">
        <v>5536</v>
      </c>
      <c r="K33" s="3" t="s">
        <v>5558</v>
      </c>
      <c r="L33" s="8" t="str">
        <f>HYPERLINK("http://slimages.macys.com/is/image/MCY/15641754 ")</f>
        <v xml:space="preserve">http://slimages.macys.com/is/image/MCY/15641754 </v>
      </c>
    </row>
    <row r="34" spans="1:12" ht="24.75" x14ac:dyDescent="0.25">
      <c r="A34" s="6" t="s">
        <v>7130</v>
      </c>
      <c r="B34" s="3" t="s">
        <v>5781</v>
      </c>
      <c r="C34" s="4">
        <v>1</v>
      </c>
      <c r="D34" s="5">
        <v>70.989999999999995</v>
      </c>
      <c r="E34" s="4" t="s">
        <v>7131</v>
      </c>
      <c r="F34" s="3" t="s">
        <v>5661</v>
      </c>
      <c r="G34" s="7" t="s">
        <v>5755</v>
      </c>
      <c r="H34" s="3" t="s">
        <v>5722</v>
      </c>
      <c r="I34" s="3" t="s">
        <v>5723</v>
      </c>
      <c r="J34" s="3" t="s">
        <v>5536</v>
      </c>
      <c r="K34" s="3" t="s">
        <v>5558</v>
      </c>
      <c r="L34" s="8" t="str">
        <f>HYPERLINK("http://slimages.macys.com/is/image/MCY/15145508 ")</f>
        <v xml:space="preserve">http://slimages.macys.com/is/image/MCY/15145508 </v>
      </c>
    </row>
    <row r="35" spans="1:12" ht="24.75" x14ac:dyDescent="0.25">
      <c r="A35" s="6" t="s">
        <v>7132</v>
      </c>
      <c r="B35" s="3" t="s">
        <v>7128</v>
      </c>
      <c r="C35" s="4">
        <v>1</v>
      </c>
      <c r="D35" s="5">
        <v>70.989999999999995</v>
      </c>
      <c r="E35" s="4" t="s">
        <v>7129</v>
      </c>
      <c r="F35" s="3" t="s">
        <v>5849</v>
      </c>
      <c r="G35" s="7" t="s">
        <v>5762</v>
      </c>
      <c r="H35" s="3" t="s">
        <v>5722</v>
      </c>
      <c r="I35" s="3" t="s">
        <v>5723</v>
      </c>
      <c r="J35" s="3" t="s">
        <v>5536</v>
      </c>
      <c r="K35" s="3" t="s">
        <v>5558</v>
      </c>
      <c r="L35" s="8" t="str">
        <f>HYPERLINK("http://slimages.macys.com/is/image/MCY/15641754 ")</f>
        <v xml:space="preserve">http://slimages.macys.com/is/image/MCY/15641754 </v>
      </c>
    </row>
    <row r="36" spans="1:12" x14ac:dyDescent="0.25">
      <c r="A36" s="6" t="s">
        <v>7133</v>
      </c>
      <c r="B36" s="3" t="s">
        <v>7134</v>
      </c>
      <c r="C36" s="4">
        <v>3</v>
      </c>
      <c r="D36" s="5">
        <v>388.5</v>
      </c>
      <c r="E36" s="4">
        <v>100082433</v>
      </c>
      <c r="F36" s="3" t="s">
        <v>5540</v>
      </c>
      <c r="G36" s="7" t="s">
        <v>5533</v>
      </c>
      <c r="H36" s="3" t="s">
        <v>5585</v>
      </c>
      <c r="I36" s="3" t="s">
        <v>5734</v>
      </c>
      <c r="J36" s="3" t="s">
        <v>5536</v>
      </c>
      <c r="K36" s="3" t="s">
        <v>5727</v>
      </c>
      <c r="L36" s="8" t="str">
        <f>HYPERLINK("http://slimages.macys.com/is/image/MCY/16358591 ")</f>
        <v xml:space="preserve">http://slimages.macys.com/is/image/MCY/16358591 </v>
      </c>
    </row>
    <row r="37" spans="1:12" ht="24.75" x14ac:dyDescent="0.25">
      <c r="A37" s="6" t="s">
        <v>7135</v>
      </c>
      <c r="B37" s="3" t="s">
        <v>7136</v>
      </c>
      <c r="C37" s="4">
        <v>1</v>
      </c>
      <c r="D37" s="5">
        <v>77.010000000000005</v>
      </c>
      <c r="E37" s="4" t="s">
        <v>7137</v>
      </c>
      <c r="F37" s="3" t="s">
        <v>5661</v>
      </c>
      <c r="G37" s="7" t="s">
        <v>5694</v>
      </c>
      <c r="H37" s="3" t="s">
        <v>5877</v>
      </c>
      <c r="I37" s="3" t="s">
        <v>7138</v>
      </c>
      <c r="J37" s="3" t="s">
        <v>5536</v>
      </c>
      <c r="K37" s="3" t="s">
        <v>5549</v>
      </c>
      <c r="L37" s="8" t="str">
        <f>HYPERLINK("http://slimages.macys.com/is/image/MCY/14862580 ")</f>
        <v xml:space="preserve">http://slimages.macys.com/is/image/MCY/14862580 </v>
      </c>
    </row>
    <row r="38" spans="1:12" ht="24.75" x14ac:dyDescent="0.25">
      <c r="A38" s="6" t="s">
        <v>7139</v>
      </c>
      <c r="B38" s="3" t="s">
        <v>7140</v>
      </c>
      <c r="C38" s="4">
        <v>1</v>
      </c>
      <c r="D38" s="5">
        <v>69.5</v>
      </c>
      <c r="E38" s="4" t="s">
        <v>7141</v>
      </c>
      <c r="F38" s="3" t="s">
        <v>5783</v>
      </c>
      <c r="G38" s="7" t="s">
        <v>5533</v>
      </c>
      <c r="H38" s="3" t="s">
        <v>7042</v>
      </c>
      <c r="I38" s="3" t="s">
        <v>7043</v>
      </c>
      <c r="J38" s="3" t="s">
        <v>5536</v>
      </c>
      <c r="K38" s="3" t="s">
        <v>5549</v>
      </c>
      <c r="L38" s="8" t="str">
        <f>HYPERLINK("http://slimages.macys.com/is/image/MCY/15179761 ")</f>
        <v xml:space="preserve">http://slimages.macys.com/is/image/MCY/15179761 </v>
      </c>
    </row>
    <row r="39" spans="1:12" ht="24.75" x14ac:dyDescent="0.25">
      <c r="A39" s="6" t="s">
        <v>7142</v>
      </c>
      <c r="B39" s="3" t="s">
        <v>7140</v>
      </c>
      <c r="C39" s="4">
        <v>1</v>
      </c>
      <c r="D39" s="5">
        <v>69.5</v>
      </c>
      <c r="E39" s="4" t="s">
        <v>7141</v>
      </c>
      <c r="F39" s="3" t="s">
        <v>5783</v>
      </c>
      <c r="G39" s="7" t="s">
        <v>5560</v>
      </c>
      <c r="H39" s="3" t="s">
        <v>7042</v>
      </c>
      <c r="I39" s="3" t="s">
        <v>7043</v>
      </c>
      <c r="J39" s="3" t="s">
        <v>5536</v>
      </c>
      <c r="K39" s="3" t="s">
        <v>5549</v>
      </c>
      <c r="L39" s="8" t="str">
        <f>HYPERLINK("http://slimages.macys.com/is/image/MCY/15179761 ")</f>
        <v xml:space="preserve">http://slimages.macys.com/is/image/MCY/15179761 </v>
      </c>
    </row>
    <row r="40" spans="1:12" ht="24.75" x14ac:dyDescent="0.25">
      <c r="A40" s="6" t="s">
        <v>7143</v>
      </c>
      <c r="B40" s="3" t="s">
        <v>7144</v>
      </c>
      <c r="C40" s="4">
        <v>1</v>
      </c>
      <c r="D40" s="5">
        <v>69.5</v>
      </c>
      <c r="E40" s="4" t="s">
        <v>7145</v>
      </c>
      <c r="F40" s="3" t="s">
        <v>5793</v>
      </c>
      <c r="G40" s="7" t="s">
        <v>5562</v>
      </c>
      <c r="H40" s="3" t="s">
        <v>7042</v>
      </c>
      <c r="I40" s="3" t="s">
        <v>7043</v>
      </c>
      <c r="J40" s="3" t="s">
        <v>5536</v>
      </c>
      <c r="K40" s="3" t="s">
        <v>5549</v>
      </c>
      <c r="L40" s="8" t="str">
        <f>HYPERLINK("http://slimages.macys.com/is/image/MCY/11965198 ")</f>
        <v xml:space="preserve">http://slimages.macys.com/is/image/MCY/11965198 </v>
      </c>
    </row>
    <row r="41" spans="1:12" ht="24.75" x14ac:dyDescent="0.25">
      <c r="A41" s="6" t="s">
        <v>7146</v>
      </c>
      <c r="B41" s="3" t="s">
        <v>7147</v>
      </c>
      <c r="C41" s="4">
        <v>1</v>
      </c>
      <c r="D41" s="5">
        <v>69.5</v>
      </c>
      <c r="E41" s="4" t="s">
        <v>7148</v>
      </c>
      <c r="F41" s="3" t="s">
        <v>5540</v>
      </c>
      <c r="G41" s="7" t="s">
        <v>5596</v>
      </c>
      <c r="H41" s="3" t="s">
        <v>7042</v>
      </c>
      <c r="I41" s="3" t="s">
        <v>7043</v>
      </c>
      <c r="J41" s="3" t="s">
        <v>5536</v>
      </c>
      <c r="K41" s="3" t="s">
        <v>5549</v>
      </c>
      <c r="L41" s="8" t="str">
        <f>HYPERLINK("http://slimages.macys.com/is/image/MCY/15179613 ")</f>
        <v xml:space="preserve">http://slimages.macys.com/is/image/MCY/15179613 </v>
      </c>
    </row>
    <row r="42" spans="1:12" ht="24.75" x14ac:dyDescent="0.25">
      <c r="A42" s="6" t="s">
        <v>7149</v>
      </c>
      <c r="B42" s="3" t="s">
        <v>7150</v>
      </c>
      <c r="C42" s="4">
        <v>1</v>
      </c>
      <c r="D42" s="5">
        <v>68</v>
      </c>
      <c r="E42" s="4" t="s">
        <v>7151</v>
      </c>
      <c r="F42" s="3" t="s">
        <v>5540</v>
      </c>
      <c r="G42" s="7" t="s">
        <v>5682</v>
      </c>
      <c r="H42" s="3" t="s">
        <v>7152</v>
      </c>
      <c r="I42" s="3" t="s">
        <v>7153</v>
      </c>
      <c r="J42" s="3" t="s">
        <v>5536</v>
      </c>
      <c r="K42" s="3" t="s">
        <v>6021</v>
      </c>
      <c r="L42" s="8" t="str">
        <f>HYPERLINK("http://slimages.macys.com/is/image/MCY/14813509 ")</f>
        <v xml:space="preserve">http://slimages.macys.com/is/image/MCY/14813509 </v>
      </c>
    </row>
    <row r="43" spans="1:12" ht="24.75" x14ac:dyDescent="0.25">
      <c r="A43" s="6" t="s">
        <v>7154</v>
      </c>
      <c r="B43" s="3" t="s">
        <v>7155</v>
      </c>
      <c r="C43" s="4">
        <v>1</v>
      </c>
      <c r="D43" s="5">
        <v>59</v>
      </c>
      <c r="E43" s="4" t="s">
        <v>7156</v>
      </c>
      <c r="F43" s="3" t="s">
        <v>5532</v>
      </c>
      <c r="G43" s="7" t="s">
        <v>5596</v>
      </c>
      <c r="H43" s="3" t="s">
        <v>7157</v>
      </c>
      <c r="I43" s="3" t="s">
        <v>7158</v>
      </c>
      <c r="J43" s="3" t="s">
        <v>5536</v>
      </c>
      <c r="K43" s="3" t="s">
        <v>5594</v>
      </c>
      <c r="L43" s="8" t="str">
        <f>HYPERLINK("http://slimages.macys.com/is/image/MCY/13850140 ")</f>
        <v xml:space="preserve">http://slimages.macys.com/is/image/MCY/13850140 </v>
      </c>
    </row>
    <row r="44" spans="1:12" ht="24.75" x14ac:dyDescent="0.25">
      <c r="A44" s="6" t="s">
        <v>7159</v>
      </c>
      <c r="B44" s="3" t="s">
        <v>7160</v>
      </c>
      <c r="C44" s="4">
        <v>1</v>
      </c>
      <c r="D44" s="5">
        <v>79.5</v>
      </c>
      <c r="E44" s="4" t="s">
        <v>7161</v>
      </c>
      <c r="F44" s="3" t="s">
        <v>5803</v>
      </c>
      <c r="G44" s="7" t="s">
        <v>5533</v>
      </c>
      <c r="H44" s="3" t="s">
        <v>5617</v>
      </c>
      <c r="I44" s="3" t="s">
        <v>5618</v>
      </c>
      <c r="J44" s="3" t="s">
        <v>5536</v>
      </c>
      <c r="K44" s="3" t="s">
        <v>5800</v>
      </c>
      <c r="L44" s="8" t="str">
        <f>HYPERLINK("http://slimages.macys.com/is/image/MCY/15829475 ")</f>
        <v xml:space="preserve">http://slimages.macys.com/is/image/MCY/15829475 </v>
      </c>
    </row>
    <row r="45" spans="1:12" ht="24.75" x14ac:dyDescent="0.25">
      <c r="A45" s="6" t="s">
        <v>7162</v>
      </c>
      <c r="B45" s="3" t="s">
        <v>7163</v>
      </c>
      <c r="C45" s="4">
        <v>1</v>
      </c>
      <c r="D45" s="5">
        <v>79.5</v>
      </c>
      <c r="E45" s="4" t="s">
        <v>7164</v>
      </c>
      <c r="F45" s="3" t="s">
        <v>6983</v>
      </c>
      <c r="G45" s="7" t="s">
        <v>5598</v>
      </c>
      <c r="H45" s="3" t="s">
        <v>5617</v>
      </c>
      <c r="I45" s="3" t="s">
        <v>5618</v>
      </c>
      <c r="J45" s="3" t="s">
        <v>5536</v>
      </c>
      <c r="K45" s="3" t="s">
        <v>7165</v>
      </c>
      <c r="L45" s="8" t="str">
        <f>HYPERLINK("http://slimages.macys.com/is/image/MCY/15829927 ")</f>
        <v xml:space="preserve">http://slimages.macys.com/is/image/MCY/15829927 </v>
      </c>
    </row>
    <row r="46" spans="1:12" ht="24.75" x14ac:dyDescent="0.25">
      <c r="A46" s="6" t="s">
        <v>7166</v>
      </c>
      <c r="B46" s="3" t="s">
        <v>7163</v>
      </c>
      <c r="C46" s="4">
        <v>1</v>
      </c>
      <c r="D46" s="5">
        <v>79.5</v>
      </c>
      <c r="E46" s="4" t="s">
        <v>7164</v>
      </c>
      <c r="F46" s="3" t="s">
        <v>5793</v>
      </c>
      <c r="G46" s="7" t="s">
        <v>5533</v>
      </c>
      <c r="H46" s="3" t="s">
        <v>5617</v>
      </c>
      <c r="I46" s="3" t="s">
        <v>5618</v>
      </c>
      <c r="J46" s="3" t="s">
        <v>5536</v>
      </c>
      <c r="K46" s="3" t="s">
        <v>7165</v>
      </c>
      <c r="L46" s="8" t="str">
        <f>HYPERLINK("http://slimages.macys.com/is/image/MCY/15829927 ")</f>
        <v xml:space="preserve">http://slimages.macys.com/is/image/MCY/15829927 </v>
      </c>
    </row>
    <row r="47" spans="1:12" ht="24.75" x14ac:dyDescent="0.25">
      <c r="A47" s="6" t="s">
        <v>7167</v>
      </c>
      <c r="B47" s="3" t="s">
        <v>7163</v>
      </c>
      <c r="C47" s="4">
        <v>1</v>
      </c>
      <c r="D47" s="5">
        <v>79.5</v>
      </c>
      <c r="E47" s="4" t="s">
        <v>7164</v>
      </c>
      <c r="F47" s="3" t="s">
        <v>5793</v>
      </c>
      <c r="G47" s="7" t="s">
        <v>5596</v>
      </c>
      <c r="H47" s="3" t="s">
        <v>5617</v>
      </c>
      <c r="I47" s="3" t="s">
        <v>5618</v>
      </c>
      <c r="J47" s="3" t="s">
        <v>5536</v>
      </c>
      <c r="K47" s="3" t="s">
        <v>7165</v>
      </c>
      <c r="L47" s="8" t="str">
        <f>HYPERLINK("http://slimages.macys.com/is/image/MCY/15829927 ")</f>
        <v xml:space="preserve">http://slimages.macys.com/is/image/MCY/15829927 </v>
      </c>
    </row>
    <row r="48" spans="1:12" x14ac:dyDescent="0.25">
      <c r="A48" s="6" t="s">
        <v>7168</v>
      </c>
      <c r="B48" s="3" t="s">
        <v>7169</v>
      </c>
      <c r="C48" s="4">
        <v>1</v>
      </c>
      <c r="D48" s="5">
        <v>55</v>
      </c>
      <c r="E48" s="4" t="s">
        <v>7170</v>
      </c>
      <c r="F48" s="3" t="s">
        <v>5754</v>
      </c>
      <c r="G48" s="7" t="s">
        <v>5852</v>
      </c>
      <c r="H48" s="3" t="s">
        <v>7171</v>
      </c>
      <c r="I48" s="3" t="s">
        <v>7172</v>
      </c>
      <c r="J48" s="3" t="s">
        <v>5536</v>
      </c>
      <c r="K48" s="3" t="s">
        <v>5800</v>
      </c>
      <c r="L48" s="8" t="str">
        <f>HYPERLINK("http://slimages.macys.com/is/image/MCY/11667688 ")</f>
        <v xml:space="preserve">http://slimages.macys.com/is/image/MCY/11667688 </v>
      </c>
    </row>
    <row r="49" spans="1:12" x14ac:dyDescent="0.25">
      <c r="A49" s="6" t="s">
        <v>7173</v>
      </c>
      <c r="B49" s="3" t="s">
        <v>7169</v>
      </c>
      <c r="C49" s="4">
        <v>1</v>
      </c>
      <c r="D49" s="5">
        <v>55</v>
      </c>
      <c r="E49" s="4" t="s">
        <v>7170</v>
      </c>
      <c r="F49" s="3" t="s">
        <v>5754</v>
      </c>
      <c r="G49" s="7" t="s">
        <v>5850</v>
      </c>
      <c r="H49" s="3" t="s">
        <v>7171</v>
      </c>
      <c r="I49" s="3" t="s">
        <v>7172</v>
      </c>
      <c r="J49" s="3" t="s">
        <v>5536</v>
      </c>
      <c r="K49" s="3" t="s">
        <v>5800</v>
      </c>
      <c r="L49" s="8" t="str">
        <f>HYPERLINK("http://slimages.macys.com/is/image/MCY/11667688 ")</f>
        <v xml:space="preserve">http://slimages.macys.com/is/image/MCY/11667688 </v>
      </c>
    </row>
    <row r="50" spans="1:12" ht="24.75" x14ac:dyDescent="0.25">
      <c r="A50" s="6" t="s">
        <v>7174</v>
      </c>
      <c r="B50" s="3" t="s">
        <v>7169</v>
      </c>
      <c r="C50" s="4">
        <v>1</v>
      </c>
      <c r="D50" s="5">
        <v>55</v>
      </c>
      <c r="E50" s="4" t="s">
        <v>7170</v>
      </c>
      <c r="F50" s="3" t="s">
        <v>7175</v>
      </c>
      <c r="G50" s="7" t="s">
        <v>6491</v>
      </c>
      <c r="H50" s="3" t="s">
        <v>7171</v>
      </c>
      <c r="I50" s="3" t="s">
        <v>7172</v>
      </c>
      <c r="J50" s="3" t="s">
        <v>5536</v>
      </c>
      <c r="K50" s="3" t="s">
        <v>5800</v>
      </c>
      <c r="L50" s="8" t="str">
        <f>HYPERLINK("http://slimages.macys.com/is/image/MCY/11667688 ")</f>
        <v xml:space="preserve">http://slimages.macys.com/is/image/MCY/11667688 </v>
      </c>
    </row>
    <row r="51" spans="1:12" ht="24.75" x14ac:dyDescent="0.25">
      <c r="A51" s="6" t="s">
        <v>7176</v>
      </c>
      <c r="B51" s="3" t="s">
        <v>5771</v>
      </c>
      <c r="C51" s="4">
        <v>1</v>
      </c>
      <c r="D51" s="5">
        <v>64.989999999999995</v>
      </c>
      <c r="E51" s="4" t="s">
        <v>7177</v>
      </c>
      <c r="F51" s="3" t="s">
        <v>5552</v>
      </c>
      <c r="G51" s="7" t="s">
        <v>6476</v>
      </c>
      <c r="H51" s="3" t="s">
        <v>5722</v>
      </c>
      <c r="I51" s="3" t="s">
        <v>5773</v>
      </c>
      <c r="J51" s="3" t="s">
        <v>5536</v>
      </c>
      <c r="K51" s="3" t="s">
        <v>5641</v>
      </c>
      <c r="L51" s="8" t="str">
        <f>HYPERLINK("http://slimages.macys.com/is/image/MCY/15869955 ")</f>
        <v xml:space="preserve">http://slimages.macys.com/is/image/MCY/15869955 </v>
      </c>
    </row>
    <row r="52" spans="1:12" ht="24.75" x14ac:dyDescent="0.25">
      <c r="A52" s="6" t="s">
        <v>7178</v>
      </c>
      <c r="B52" s="3" t="s">
        <v>7179</v>
      </c>
      <c r="C52" s="4">
        <v>1</v>
      </c>
      <c r="D52" s="5">
        <v>64.989999999999995</v>
      </c>
      <c r="E52" s="4" t="s">
        <v>7180</v>
      </c>
      <c r="F52" s="3" t="s">
        <v>5793</v>
      </c>
      <c r="G52" s="7" t="s">
        <v>5762</v>
      </c>
      <c r="H52" s="3" t="s">
        <v>5722</v>
      </c>
      <c r="I52" s="3" t="s">
        <v>5773</v>
      </c>
      <c r="J52" s="3" t="s">
        <v>5536</v>
      </c>
      <c r="K52" s="3" t="s">
        <v>5558</v>
      </c>
      <c r="L52" s="8" t="str">
        <f>HYPERLINK("http://slimages.macys.com/is/image/MCY/15117748 ")</f>
        <v xml:space="preserve">http://slimages.macys.com/is/image/MCY/15117748 </v>
      </c>
    </row>
    <row r="53" spans="1:12" x14ac:dyDescent="0.25">
      <c r="A53" s="6" t="s">
        <v>7181</v>
      </c>
      <c r="B53" s="3" t="s">
        <v>7182</v>
      </c>
      <c r="C53" s="4">
        <v>1</v>
      </c>
      <c r="D53" s="5">
        <v>59.99</v>
      </c>
      <c r="E53" s="4">
        <v>757980008</v>
      </c>
      <c r="F53" s="3" t="s">
        <v>5540</v>
      </c>
      <c r="G53" s="7" t="s">
        <v>5567</v>
      </c>
      <c r="H53" s="3" t="s">
        <v>5807</v>
      </c>
      <c r="I53" s="3" t="s">
        <v>5808</v>
      </c>
      <c r="J53" s="3" t="s">
        <v>5536</v>
      </c>
      <c r="K53" s="3" t="s">
        <v>5558</v>
      </c>
      <c r="L53" s="8" t="str">
        <f>HYPERLINK("http://slimages.macys.com/is/image/MCY/14434537 ")</f>
        <v xml:space="preserve">http://slimages.macys.com/is/image/MCY/14434537 </v>
      </c>
    </row>
    <row r="54" spans="1:12" ht="48.75" x14ac:dyDescent="0.25">
      <c r="A54" s="6" t="s">
        <v>7183</v>
      </c>
      <c r="B54" s="3" t="s">
        <v>7184</v>
      </c>
      <c r="C54" s="4">
        <v>1</v>
      </c>
      <c r="D54" s="5">
        <v>89.99</v>
      </c>
      <c r="E54" s="4" t="s">
        <v>7185</v>
      </c>
      <c r="F54" s="3" t="s">
        <v>5540</v>
      </c>
      <c r="G54" s="7" t="s">
        <v>5598</v>
      </c>
      <c r="H54" s="3" t="s">
        <v>6065</v>
      </c>
      <c r="I54" s="3" t="s">
        <v>6066</v>
      </c>
      <c r="J54" s="3" t="s">
        <v>5536</v>
      </c>
      <c r="K54" s="3" t="s">
        <v>7186</v>
      </c>
      <c r="L54" s="8" t="str">
        <f>HYPERLINK("http://slimages.macys.com/is/image/MCY/9121191 ")</f>
        <v xml:space="preserve">http://slimages.macys.com/is/image/MCY/9121191 </v>
      </c>
    </row>
    <row r="55" spans="1:12" ht="24.75" x14ac:dyDescent="0.25">
      <c r="A55" s="6" t="s">
        <v>7187</v>
      </c>
      <c r="B55" s="3" t="s">
        <v>7188</v>
      </c>
      <c r="C55" s="4">
        <v>1</v>
      </c>
      <c r="D55" s="5">
        <v>75</v>
      </c>
      <c r="E55" s="4">
        <v>100075462</v>
      </c>
      <c r="F55" s="3" t="s">
        <v>7189</v>
      </c>
      <c r="G55" s="7" t="s">
        <v>5560</v>
      </c>
      <c r="H55" s="3" t="s">
        <v>5585</v>
      </c>
      <c r="I55" s="3" t="s">
        <v>5734</v>
      </c>
      <c r="J55" s="3" t="s">
        <v>5536</v>
      </c>
      <c r="K55" s="3" t="s">
        <v>7190</v>
      </c>
      <c r="L55" s="8" t="str">
        <f>HYPERLINK("http://slimages.macys.com/is/image/MCY/15445333 ")</f>
        <v xml:space="preserve">http://slimages.macys.com/is/image/MCY/15445333 </v>
      </c>
    </row>
    <row r="56" spans="1:12" ht="24.75" x14ac:dyDescent="0.25">
      <c r="A56" s="6" t="s">
        <v>7191</v>
      </c>
      <c r="B56" s="3" t="s">
        <v>7192</v>
      </c>
      <c r="C56" s="4">
        <v>1</v>
      </c>
      <c r="D56" s="5">
        <v>59.5</v>
      </c>
      <c r="E56" s="4" t="s">
        <v>7193</v>
      </c>
      <c r="F56" s="3" t="s">
        <v>5925</v>
      </c>
      <c r="G56" s="7" t="s">
        <v>5560</v>
      </c>
      <c r="H56" s="3" t="s">
        <v>5794</v>
      </c>
      <c r="I56" s="3" t="s">
        <v>5795</v>
      </c>
      <c r="J56" s="3" t="s">
        <v>5536</v>
      </c>
      <c r="K56" s="3" t="s">
        <v>5800</v>
      </c>
      <c r="L56" s="8" t="str">
        <f>HYPERLINK("http://slimages.macys.com/is/image/MCY/9340057 ")</f>
        <v xml:space="preserve">http://slimages.macys.com/is/image/MCY/9340057 </v>
      </c>
    </row>
    <row r="57" spans="1:12" x14ac:dyDescent="0.25">
      <c r="A57" s="6" t="s">
        <v>7194</v>
      </c>
      <c r="B57" s="3" t="s">
        <v>7195</v>
      </c>
      <c r="C57" s="4">
        <v>1</v>
      </c>
      <c r="D57" s="5">
        <v>55</v>
      </c>
      <c r="E57" s="4">
        <v>710721660019</v>
      </c>
      <c r="F57" s="3" t="s">
        <v>5540</v>
      </c>
      <c r="G57" s="7" t="s">
        <v>5533</v>
      </c>
      <c r="H57" s="3" t="s">
        <v>5534</v>
      </c>
      <c r="I57" s="3" t="s">
        <v>5535</v>
      </c>
      <c r="J57" s="3" t="s">
        <v>5536</v>
      </c>
      <c r="K57" s="3" t="s">
        <v>5549</v>
      </c>
      <c r="L57" s="8" t="str">
        <f>HYPERLINK("http://slimages.macys.com/is/image/MCY/13839244 ")</f>
        <v xml:space="preserve">http://slimages.macys.com/is/image/MCY/13839244 </v>
      </c>
    </row>
    <row r="58" spans="1:12" ht="24.75" x14ac:dyDescent="0.25">
      <c r="A58" s="6" t="s">
        <v>7196</v>
      </c>
      <c r="B58" s="3" t="s">
        <v>7197</v>
      </c>
      <c r="C58" s="4">
        <v>1</v>
      </c>
      <c r="D58" s="5">
        <v>64.989999999999995</v>
      </c>
      <c r="E58" s="4">
        <v>700705069001</v>
      </c>
      <c r="F58" s="3" t="s">
        <v>5783</v>
      </c>
      <c r="G58" s="7" t="s">
        <v>5779</v>
      </c>
      <c r="H58" s="3" t="s">
        <v>5722</v>
      </c>
      <c r="I58" s="3" t="s">
        <v>7198</v>
      </c>
      <c r="J58" s="3" t="s">
        <v>5536</v>
      </c>
      <c r="K58" s="3" t="s">
        <v>5558</v>
      </c>
      <c r="L58" s="8" t="str">
        <f>HYPERLINK("http://slimages.macys.com/is/image/MCY/9274840 ")</f>
        <v xml:space="preserve">http://slimages.macys.com/is/image/MCY/9274840 </v>
      </c>
    </row>
    <row r="59" spans="1:12" ht="24.75" x14ac:dyDescent="0.25">
      <c r="A59" s="6" t="s">
        <v>7199</v>
      </c>
      <c r="B59" s="3" t="s">
        <v>7200</v>
      </c>
      <c r="C59" s="4">
        <v>1</v>
      </c>
      <c r="D59" s="5">
        <v>63</v>
      </c>
      <c r="E59" s="4" t="s">
        <v>7201</v>
      </c>
      <c r="F59" s="3" t="s">
        <v>5540</v>
      </c>
      <c r="G59" s="7" t="s">
        <v>5626</v>
      </c>
      <c r="H59" s="3" t="s">
        <v>7053</v>
      </c>
      <c r="I59" s="3" t="s">
        <v>7202</v>
      </c>
      <c r="J59" s="3" t="s">
        <v>5536</v>
      </c>
      <c r="K59" s="3" t="s">
        <v>5864</v>
      </c>
      <c r="L59" s="8" t="str">
        <f>HYPERLINK("http://slimages.macys.com/is/image/MCY/11869611 ")</f>
        <v xml:space="preserve">http://slimages.macys.com/is/image/MCY/11869611 </v>
      </c>
    </row>
    <row r="60" spans="1:12" ht="24.75" x14ac:dyDescent="0.25">
      <c r="A60" s="6" t="s">
        <v>7203</v>
      </c>
      <c r="B60" s="3" t="s">
        <v>7204</v>
      </c>
      <c r="C60" s="4">
        <v>1</v>
      </c>
      <c r="D60" s="5">
        <v>59.95</v>
      </c>
      <c r="E60" s="4" t="s">
        <v>7205</v>
      </c>
      <c r="F60" s="3" t="s">
        <v>5532</v>
      </c>
      <c r="G60" s="7" t="s">
        <v>5596</v>
      </c>
      <c r="H60" s="3" t="s">
        <v>7206</v>
      </c>
      <c r="I60" s="3" t="s">
        <v>7207</v>
      </c>
      <c r="J60" s="3" t="s">
        <v>5536</v>
      </c>
      <c r="K60" s="3" t="s">
        <v>5574</v>
      </c>
      <c r="L60" s="8" t="str">
        <f>HYPERLINK("http://slimages.macys.com/is/image/MCY/15246884 ")</f>
        <v xml:space="preserve">http://slimages.macys.com/is/image/MCY/15246884 </v>
      </c>
    </row>
    <row r="61" spans="1:12" ht="24.75" x14ac:dyDescent="0.25">
      <c r="A61" s="6" t="s">
        <v>7208</v>
      </c>
      <c r="B61" s="3" t="s">
        <v>7209</v>
      </c>
      <c r="C61" s="4">
        <v>1</v>
      </c>
      <c r="D61" s="5">
        <v>49.5</v>
      </c>
      <c r="E61" s="4" t="s">
        <v>7210</v>
      </c>
      <c r="F61" s="3" t="s">
        <v>6983</v>
      </c>
      <c r="G61" s="7" t="s">
        <v>5573</v>
      </c>
      <c r="H61" s="3" t="s">
        <v>7211</v>
      </c>
      <c r="I61" s="3" t="s">
        <v>7212</v>
      </c>
      <c r="J61" s="3" t="s">
        <v>5536</v>
      </c>
      <c r="K61" s="3" t="s">
        <v>5549</v>
      </c>
      <c r="L61" s="8" t="str">
        <f>HYPERLINK("http://slimages.macys.com/is/image/MCY/16499927 ")</f>
        <v xml:space="preserve">http://slimages.macys.com/is/image/MCY/16499927 </v>
      </c>
    </row>
    <row r="62" spans="1:12" ht="24.75" x14ac:dyDescent="0.25">
      <c r="A62" s="6" t="s">
        <v>7213</v>
      </c>
      <c r="B62" s="3" t="s">
        <v>3818</v>
      </c>
      <c r="C62" s="4">
        <v>1</v>
      </c>
      <c r="D62" s="5">
        <v>59.5</v>
      </c>
      <c r="E62" s="4" t="s">
        <v>3819</v>
      </c>
      <c r="F62" s="3" t="s">
        <v>5945</v>
      </c>
      <c r="G62" s="7" t="s">
        <v>3820</v>
      </c>
      <c r="H62" s="3" t="s">
        <v>3821</v>
      </c>
      <c r="I62" s="3" t="s">
        <v>3822</v>
      </c>
      <c r="J62" s="3" t="s">
        <v>5536</v>
      </c>
      <c r="K62" s="3" t="s">
        <v>5553</v>
      </c>
      <c r="L62" s="8" t="str">
        <f>HYPERLINK("http://slimages.macys.com/is/image/MCY/973155 ")</f>
        <v xml:space="preserve">http://slimages.macys.com/is/image/MCY/973155 </v>
      </c>
    </row>
    <row r="63" spans="1:12" ht="24.75" x14ac:dyDescent="0.25">
      <c r="A63" s="6" t="s">
        <v>3823</v>
      </c>
      <c r="B63" s="3" t="s">
        <v>3824</v>
      </c>
      <c r="C63" s="4">
        <v>1</v>
      </c>
      <c r="D63" s="5">
        <v>54.5</v>
      </c>
      <c r="E63" s="4" t="s">
        <v>3825</v>
      </c>
      <c r="F63" s="3" t="s">
        <v>5887</v>
      </c>
      <c r="G63" s="7" t="s">
        <v>5573</v>
      </c>
      <c r="H63" s="3" t="s">
        <v>7211</v>
      </c>
      <c r="I63" s="3" t="s">
        <v>7212</v>
      </c>
      <c r="J63" s="3" t="s">
        <v>5536</v>
      </c>
      <c r="K63" s="3" t="s">
        <v>5558</v>
      </c>
      <c r="L63" s="8" t="str">
        <f>HYPERLINK("http://slimages.macys.com/is/image/MCY/16517055 ")</f>
        <v xml:space="preserve">http://slimages.macys.com/is/image/MCY/16517055 </v>
      </c>
    </row>
    <row r="64" spans="1:12" ht="24.75" x14ac:dyDescent="0.25">
      <c r="A64" s="6" t="s">
        <v>3826</v>
      </c>
      <c r="B64" s="3" t="s">
        <v>5813</v>
      </c>
      <c r="C64" s="4">
        <v>1</v>
      </c>
      <c r="D64" s="5">
        <v>57.99</v>
      </c>
      <c r="E64" s="4" t="s">
        <v>5814</v>
      </c>
      <c r="F64" s="3" t="s">
        <v>5815</v>
      </c>
      <c r="G64" s="7" t="s">
        <v>5768</v>
      </c>
      <c r="H64" s="3" t="s">
        <v>5722</v>
      </c>
      <c r="I64" s="3" t="s">
        <v>5773</v>
      </c>
      <c r="J64" s="3" t="s">
        <v>5536</v>
      </c>
      <c r="K64" s="3" t="s">
        <v>5558</v>
      </c>
      <c r="L64" s="8" t="str">
        <f>HYPERLINK("http://slimages.macys.com/is/image/MCY/8837853 ")</f>
        <v xml:space="preserve">http://slimages.macys.com/is/image/MCY/8837853 </v>
      </c>
    </row>
    <row r="65" spans="1:12" ht="24.75" x14ac:dyDescent="0.25">
      <c r="A65" s="6" t="s">
        <v>3827</v>
      </c>
      <c r="B65" s="3" t="s">
        <v>5771</v>
      </c>
      <c r="C65" s="4">
        <v>1</v>
      </c>
      <c r="D65" s="5">
        <v>57.99</v>
      </c>
      <c r="E65" s="4" t="s">
        <v>3828</v>
      </c>
      <c r="F65" s="3" t="s">
        <v>6983</v>
      </c>
      <c r="G65" s="7" t="s">
        <v>5768</v>
      </c>
      <c r="H65" s="3" t="s">
        <v>5722</v>
      </c>
      <c r="I65" s="3" t="s">
        <v>5773</v>
      </c>
      <c r="J65" s="3" t="s">
        <v>5536</v>
      </c>
      <c r="K65" s="3" t="s">
        <v>5558</v>
      </c>
      <c r="L65" s="8" t="str">
        <f>HYPERLINK("http://slimages.macys.com/is/image/MCY/8878168 ")</f>
        <v xml:space="preserve">http://slimages.macys.com/is/image/MCY/8878168 </v>
      </c>
    </row>
    <row r="66" spans="1:12" ht="24.75" x14ac:dyDescent="0.25">
      <c r="A66" s="6" t="s">
        <v>3829</v>
      </c>
      <c r="B66" s="3" t="s">
        <v>3830</v>
      </c>
      <c r="C66" s="4">
        <v>1</v>
      </c>
      <c r="D66" s="5">
        <v>69.5</v>
      </c>
      <c r="E66" s="4" t="s">
        <v>3831</v>
      </c>
      <c r="F66" s="3" t="s">
        <v>5783</v>
      </c>
      <c r="G66" s="7" t="s">
        <v>5598</v>
      </c>
      <c r="H66" s="3" t="s">
        <v>5617</v>
      </c>
      <c r="I66" s="3" t="s">
        <v>5618</v>
      </c>
      <c r="J66" s="3" t="s">
        <v>5536</v>
      </c>
      <c r="K66" s="3" t="s">
        <v>5594</v>
      </c>
      <c r="L66" s="8" t="str">
        <f>HYPERLINK("http://slimages.macys.com/is/image/MCY/14795797 ")</f>
        <v xml:space="preserve">http://slimages.macys.com/is/image/MCY/14795797 </v>
      </c>
    </row>
    <row r="67" spans="1:12" ht="24.75" x14ac:dyDescent="0.25">
      <c r="A67" s="6" t="s">
        <v>3832</v>
      </c>
      <c r="B67" s="3" t="s">
        <v>3833</v>
      </c>
      <c r="C67" s="4">
        <v>1</v>
      </c>
      <c r="D67" s="5">
        <v>2</v>
      </c>
      <c r="E67" s="4" t="s">
        <v>3834</v>
      </c>
      <c r="F67" s="3" t="s">
        <v>5783</v>
      </c>
      <c r="G67" s="7"/>
      <c r="H67" s="3" t="s">
        <v>7074</v>
      </c>
      <c r="I67" s="3" t="s">
        <v>7075</v>
      </c>
      <c r="J67" s="3"/>
      <c r="K67" s="3"/>
      <c r="L67" s="8" t="str">
        <f>HYPERLINK("http://slimages.macys.com/is/image/MCY/14802359 ")</f>
        <v xml:space="preserve">http://slimages.macys.com/is/image/MCY/14802359 </v>
      </c>
    </row>
    <row r="68" spans="1:12" ht="24.75" x14ac:dyDescent="0.25">
      <c r="A68" s="6" t="s">
        <v>3835</v>
      </c>
      <c r="B68" s="3" t="s">
        <v>5822</v>
      </c>
      <c r="C68" s="4">
        <v>1</v>
      </c>
      <c r="D68" s="5">
        <v>23</v>
      </c>
      <c r="E68" s="4" t="s">
        <v>5823</v>
      </c>
      <c r="F68" s="3" t="s">
        <v>5532</v>
      </c>
      <c r="G68" s="7"/>
      <c r="H68" s="3" t="s">
        <v>5825</v>
      </c>
      <c r="I68" s="3" t="s">
        <v>5826</v>
      </c>
      <c r="J68" s="3" t="s">
        <v>5536</v>
      </c>
      <c r="K68" s="3" t="s">
        <v>5549</v>
      </c>
      <c r="L68" s="8" t="str">
        <f>HYPERLINK("http://slimages.macys.com/is/image/MCY/16268498 ")</f>
        <v xml:space="preserve">http://slimages.macys.com/is/image/MCY/16268498 </v>
      </c>
    </row>
    <row r="69" spans="1:12" x14ac:dyDescent="0.25">
      <c r="A69" s="6" t="s">
        <v>3836</v>
      </c>
      <c r="B69" s="3" t="s">
        <v>3837</v>
      </c>
      <c r="C69" s="4">
        <v>1</v>
      </c>
      <c r="D69" s="5">
        <v>75</v>
      </c>
      <c r="E69" s="4">
        <v>100081901</v>
      </c>
      <c r="F69" s="3" t="s">
        <v>5540</v>
      </c>
      <c r="G69" s="7" t="s">
        <v>5596</v>
      </c>
      <c r="H69" s="3" t="s">
        <v>5585</v>
      </c>
      <c r="I69" s="3" t="s">
        <v>5734</v>
      </c>
      <c r="J69" s="3" t="s">
        <v>5536</v>
      </c>
      <c r="K69" s="3" t="s">
        <v>5549</v>
      </c>
      <c r="L69" s="8" t="str">
        <f>HYPERLINK("http://slimages.macys.com/is/image/MCY/16135616 ")</f>
        <v xml:space="preserve">http://slimages.macys.com/is/image/MCY/16135616 </v>
      </c>
    </row>
    <row r="70" spans="1:12" ht="24.75" x14ac:dyDescent="0.25">
      <c r="A70" s="6" t="s">
        <v>3838</v>
      </c>
      <c r="B70" s="3" t="s">
        <v>3839</v>
      </c>
      <c r="C70" s="4">
        <v>1</v>
      </c>
      <c r="D70" s="5">
        <v>55</v>
      </c>
      <c r="E70" s="4" t="s">
        <v>3840</v>
      </c>
      <c r="F70" s="3"/>
      <c r="G70" s="7" t="s">
        <v>5562</v>
      </c>
      <c r="H70" s="3" t="s">
        <v>3841</v>
      </c>
      <c r="I70" s="3" t="s">
        <v>3842</v>
      </c>
      <c r="J70" s="3" t="s">
        <v>5536</v>
      </c>
      <c r="K70" s="3" t="s">
        <v>5549</v>
      </c>
      <c r="L70" s="8" t="str">
        <f>HYPERLINK("http://slimages.macys.com/is/image/MCY/15823283 ")</f>
        <v xml:space="preserve">http://slimages.macys.com/is/image/MCY/15823283 </v>
      </c>
    </row>
    <row r="71" spans="1:12" x14ac:dyDescent="0.25">
      <c r="A71" s="6" t="s">
        <v>3843</v>
      </c>
      <c r="B71" s="3" t="s">
        <v>3844</v>
      </c>
      <c r="C71" s="4">
        <v>1</v>
      </c>
      <c r="D71" s="5">
        <v>58</v>
      </c>
      <c r="E71" s="4" t="s">
        <v>3845</v>
      </c>
      <c r="F71" s="3" t="s">
        <v>5793</v>
      </c>
      <c r="G71" s="7" t="s">
        <v>5898</v>
      </c>
      <c r="H71" s="3" t="s">
        <v>5899</v>
      </c>
      <c r="I71" s="3" t="s">
        <v>3846</v>
      </c>
      <c r="J71" s="3" t="s">
        <v>5536</v>
      </c>
      <c r="K71" s="3" t="s">
        <v>5727</v>
      </c>
      <c r="L71" s="8" t="str">
        <f>HYPERLINK("http://slimages.macys.com/is/image/MCY/12060962 ")</f>
        <v xml:space="preserve">http://slimages.macys.com/is/image/MCY/12060962 </v>
      </c>
    </row>
    <row r="72" spans="1:12" ht="24.75" x14ac:dyDescent="0.25">
      <c r="A72" s="6" t="s">
        <v>3847</v>
      </c>
      <c r="B72" s="3" t="s">
        <v>5752</v>
      </c>
      <c r="C72" s="4">
        <v>1</v>
      </c>
      <c r="D72" s="5">
        <v>64.989999999999995</v>
      </c>
      <c r="E72" s="4" t="s">
        <v>5753</v>
      </c>
      <c r="F72" s="3" t="s">
        <v>5754</v>
      </c>
      <c r="G72" s="7" t="s">
        <v>6476</v>
      </c>
      <c r="H72" s="3" t="s">
        <v>5722</v>
      </c>
      <c r="I72" s="3" t="s">
        <v>5756</v>
      </c>
      <c r="J72" s="3" t="s">
        <v>5536</v>
      </c>
      <c r="K72" s="3" t="s">
        <v>5549</v>
      </c>
      <c r="L72" s="8" t="str">
        <f>HYPERLINK("http://slimages.macys.com/is/image/MCY/8823845 ")</f>
        <v xml:space="preserve">http://slimages.macys.com/is/image/MCY/8823845 </v>
      </c>
    </row>
    <row r="73" spans="1:12" ht="24.75" x14ac:dyDescent="0.25">
      <c r="A73" s="6" t="s">
        <v>3848</v>
      </c>
      <c r="B73" s="3" t="s">
        <v>3849</v>
      </c>
      <c r="C73" s="4">
        <v>1</v>
      </c>
      <c r="D73" s="5">
        <v>59.5</v>
      </c>
      <c r="E73" s="4" t="s">
        <v>3850</v>
      </c>
      <c r="F73" s="3" t="s">
        <v>5803</v>
      </c>
      <c r="G73" s="7" t="s">
        <v>5852</v>
      </c>
      <c r="H73" s="3" t="s">
        <v>5617</v>
      </c>
      <c r="I73" s="3" t="s">
        <v>5618</v>
      </c>
      <c r="J73" s="3" t="s">
        <v>5536</v>
      </c>
      <c r="K73" s="3" t="s">
        <v>5558</v>
      </c>
      <c r="L73" s="8" t="str">
        <f>HYPERLINK("http://slimages.macys.com/is/image/MCY/11666928 ")</f>
        <v xml:space="preserve">http://slimages.macys.com/is/image/MCY/11666928 </v>
      </c>
    </row>
    <row r="74" spans="1:12" ht="60.75" x14ac:dyDescent="0.25">
      <c r="A74" s="6" t="s">
        <v>3851</v>
      </c>
      <c r="B74" s="3" t="s">
        <v>3852</v>
      </c>
      <c r="C74" s="4">
        <v>1</v>
      </c>
      <c r="D74" s="5">
        <v>45</v>
      </c>
      <c r="E74" s="4">
        <v>85403302</v>
      </c>
      <c r="F74" s="3" t="s">
        <v>5625</v>
      </c>
      <c r="G74" s="7" t="s">
        <v>5533</v>
      </c>
      <c r="H74" s="3" t="s">
        <v>3853</v>
      </c>
      <c r="I74" s="3" t="s">
        <v>3854</v>
      </c>
      <c r="J74" s="3" t="s">
        <v>5536</v>
      </c>
      <c r="K74" s="3" t="s">
        <v>3855</v>
      </c>
      <c r="L74" s="8" t="str">
        <f>HYPERLINK("http://slimages.macys.com/is/image/MCY/9969013 ")</f>
        <v xml:space="preserve">http://slimages.macys.com/is/image/MCY/9969013 </v>
      </c>
    </row>
    <row r="75" spans="1:12" ht="60.75" x14ac:dyDescent="0.25">
      <c r="A75" s="6" t="s">
        <v>3856</v>
      </c>
      <c r="B75" s="3" t="s">
        <v>3852</v>
      </c>
      <c r="C75" s="4">
        <v>1</v>
      </c>
      <c r="D75" s="5">
        <v>45</v>
      </c>
      <c r="E75" s="4">
        <v>85403302</v>
      </c>
      <c r="F75" s="3" t="s">
        <v>5625</v>
      </c>
      <c r="G75" s="7" t="s">
        <v>5560</v>
      </c>
      <c r="H75" s="3" t="s">
        <v>3853</v>
      </c>
      <c r="I75" s="3" t="s">
        <v>3854</v>
      </c>
      <c r="J75" s="3" t="s">
        <v>5536</v>
      </c>
      <c r="K75" s="3" t="s">
        <v>3855</v>
      </c>
      <c r="L75" s="8" t="str">
        <f>HYPERLINK("http://slimages.macys.com/is/image/MCY/9969013 ")</f>
        <v xml:space="preserve">http://slimages.macys.com/is/image/MCY/9969013 </v>
      </c>
    </row>
    <row r="76" spans="1:12" ht="24.75" x14ac:dyDescent="0.25">
      <c r="A76" s="6" t="s">
        <v>3857</v>
      </c>
      <c r="B76" s="3" t="s">
        <v>3858</v>
      </c>
      <c r="C76" s="4">
        <v>1</v>
      </c>
      <c r="D76" s="5">
        <v>44</v>
      </c>
      <c r="E76" s="4" t="s">
        <v>3859</v>
      </c>
      <c r="F76" s="3" t="s">
        <v>5661</v>
      </c>
      <c r="G76" s="7" t="s">
        <v>5596</v>
      </c>
      <c r="H76" s="3" t="s">
        <v>7152</v>
      </c>
      <c r="I76" s="3" t="s">
        <v>3860</v>
      </c>
      <c r="J76" s="3" t="s">
        <v>5536</v>
      </c>
      <c r="K76" s="3" t="s">
        <v>5549</v>
      </c>
      <c r="L76" s="8" t="str">
        <f>HYPERLINK("http://slimages.macys.com/is/image/MCY/15879566 ")</f>
        <v xml:space="preserve">http://slimages.macys.com/is/image/MCY/15879566 </v>
      </c>
    </row>
    <row r="77" spans="1:12" x14ac:dyDescent="0.25">
      <c r="A77" s="6" t="s">
        <v>3861</v>
      </c>
      <c r="B77" s="3" t="s">
        <v>5922</v>
      </c>
      <c r="C77" s="4">
        <v>1</v>
      </c>
      <c r="D77" s="5">
        <v>59.5</v>
      </c>
      <c r="E77" s="4">
        <v>100031340</v>
      </c>
      <c r="F77" s="3" t="s">
        <v>5783</v>
      </c>
      <c r="G77" s="7" t="s">
        <v>5596</v>
      </c>
      <c r="H77" s="3" t="s">
        <v>5585</v>
      </c>
      <c r="I77" s="3" t="s">
        <v>5586</v>
      </c>
      <c r="J77" s="3" t="s">
        <v>5536</v>
      </c>
      <c r="K77" s="3" t="s">
        <v>5574</v>
      </c>
      <c r="L77" s="8" t="str">
        <f>HYPERLINK("http://slimages.macys.com/is/image/MCY/10790044 ")</f>
        <v xml:space="preserve">http://slimages.macys.com/is/image/MCY/10790044 </v>
      </c>
    </row>
    <row r="78" spans="1:12" ht="24.75" x14ac:dyDescent="0.25">
      <c r="A78" s="6" t="s">
        <v>3862</v>
      </c>
      <c r="B78" s="3" t="s">
        <v>3863</v>
      </c>
      <c r="C78" s="4">
        <v>1</v>
      </c>
      <c r="D78" s="5">
        <v>65</v>
      </c>
      <c r="E78" s="4">
        <v>100075461</v>
      </c>
      <c r="F78" s="3" t="s">
        <v>5540</v>
      </c>
      <c r="G78" s="7" t="s">
        <v>5598</v>
      </c>
      <c r="H78" s="3" t="s">
        <v>5585</v>
      </c>
      <c r="I78" s="3" t="s">
        <v>5734</v>
      </c>
      <c r="J78" s="3" t="s">
        <v>5536</v>
      </c>
      <c r="K78" s="3" t="s">
        <v>3864</v>
      </c>
      <c r="L78" s="8" t="str">
        <f>HYPERLINK("http://slimages.macys.com/is/image/MCY/15272696 ")</f>
        <v xml:space="preserve">http://slimages.macys.com/is/image/MCY/15272696 </v>
      </c>
    </row>
    <row r="79" spans="1:12" ht="24.75" x14ac:dyDescent="0.25">
      <c r="A79" s="6" t="s">
        <v>3865</v>
      </c>
      <c r="B79" s="3" t="s">
        <v>3863</v>
      </c>
      <c r="C79" s="4">
        <v>1</v>
      </c>
      <c r="D79" s="5">
        <v>65</v>
      </c>
      <c r="E79" s="4">
        <v>100075461</v>
      </c>
      <c r="F79" s="3" t="s">
        <v>5540</v>
      </c>
      <c r="G79" s="7" t="s">
        <v>5562</v>
      </c>
      <c r="H79" s="3" t="s">
        <v>5585</v>
      </c>
      <c r="I79" s="3" t="s">
        <v>5734</v>
      </c>
      <c r="J79" s="3" t="s">
        <v>5536</v>
      </c>
      <c r="K79" s="3" t="s">
        <v>3864</v>
      </c>
      <c r="L79" s="8" t="str">
        <f>HYPERLINK("http://slimages.macys.com/is/image/MCY/15272696 ")</f>
        <v xml:space="preserve">http://slimages.macys.com/is/image/MCY/15272696 </v>
      </c>
    </row>
    <row r="80" spans="1:12" ht="72.75" x14ac:dyDescent="0.25">
      <c r="A80" s="6" t="s">
        <v>3866</v>
      </c>
      <c r="B80" s="3" t="s">
        <v>3867</v>
      </c>
      <c r="C80" s="4">
        <v>1</v>
      </c>
      <c r="D80" s="5">
        <v>65</v>
      </c>
      <c r="E80" s="4">
        <v>100081898</v>
      </c>
      <c r="F80" s="3" t="s">
        <v>5540</v>
      </c>
      <c r="G80" s="7" t="s">
        <v>5562</v>
      </c>
      <c r="H80" s="3" t="s">
        <v>5585</v>
      </c>
      <c r="I80" s="3" t="s">
        <v>5734</v>
      </c>
      <c r="J80" s="3" t="s">
        <v>5536</v>
      </c>
      <c r="K80" s="3" t="s">
        <v>3868</v>
      </c>
      <c r="L80" s="8" t="str">
        <f>HYPERLINK("http://slimages.macys.com/is/image/MCY/15890182 ")</f>
        <v xml:space="preserve">http://slimages.macys.com/is/image/MCY/15890182 </v>
      </c>
    </row>
    <row r="81" spans="1:12" ht="72.75" x14ac:dyDescent="0.25">
      <c r="A81" s="6" t="s">
        <v>3869</v>
      </c>
      <c r="B81" s="3" t="s">
        <v>3867</v>
      </c>
      <c r="C81" s="4">
        <v>1</v>
      </c>
      <c r="D81" s="5">
        <v>65</v>
      </c>
      <c r="E81" s="4">
        <v>100081898</v>
      </c>
      <c r="F81" s="3" t="s">
        <v>5540</v>
      </c>
      <c r="G81" s="7" t="s">
        <v>5596</v>
      </c>
      <c r="H81" s="3" t="s">
        <v>5585</v>
      </c>
      <c r="I81" s="3" t="s">
        <v>5734</v>
      </c>
      <c r="J81" s="3" t="s">
        <v>5536</v>
      </c>
      <c r="K81" s="3" t="s">
        <v>3868</v>
      </c>
      <c r="L81" s="8" t="str">
        <f>HYPERLINK("http://slimages.macys.com/is/image/MCY/15890182 ")</f>
        <v xml:space="preserve">http://slimages.macys.com/is/image/MCY/15890182 </v>
      </c>
    </row>
    <row r="82" spans="1:12" x14ac:dyDescent="0.25">
      <c r="A82" s="6" t="s">
        <v>3870</v>
      </c>
      <c r="B82" s="3" t="s">
        <v>5948</v>
      </c>
      <c r="C82" s="4">
        <v>1</v>
      </c>
      <c r="D82" s="5">
        <v>34.99</v>
      </c>
      <c r="E82" s="4" t="s">
        <v>5949</v>
      </c>
      <c r="F82" s="3" t="s">
        <v>5820</v>
      </c>
      <c r="G82" s="7" t="s">
        <v>5533</v>
      </c>
      <c r="H82" s="3" t="s">
        <v>5606</v>
      </c>
      <c r="I82" s="3" t="s">
        <v>5914</v>
      </c>
      <c r="J82" s="3" t="s">
        <v>5536</v>
      </c>
      <c r="K82" s="3" t="s">
        <v>5594</v>
      </c>
      <c r="L82" s="8" t="str">
        <f>HYPERLINK("http://slimages.macys.com/is/image/MCY/15602237 ")</f>
        <v xml:space="preserve">http://slimages.macys.com/is/image/MCY/15602237 </v>
      </c>
    </row>
    <row r="83" spans="1:12" ht="24.75" x14ac:dyDescent="0.25">
      <c r="A83" s="6" t="s">
        <v>3871</v>
      </c>
      <c r="B83" s="3" t="s">
        <v>3872</v>
      </c>
      <c r="C83" s="4">
        <v>1</v>
      </c>
      <c r="D83" s="5">
        <v>34.99</v>
      </c>
      <c r="E83" s="4" t="s">
        <v>3873</v>
      </c>
      <c r="F83" s="3" t="s">
        <v>6275</v>
      </c>
      <c r="G83" s="7" t="s">
        <v>5562</v>
      </c>
      <c r="H83" s="3" t="s">
        <v>5606</v>
      </c>
      <c r="I83" s="3" t="s">
        <v>5914</v>
      </c>
      <c r="J83" s="3" t="s">
        <v>5536</v>
      </c>
      <c r="K83" s="3" t="s">
        <v>5574</v>
      </c>
      <c r="L83" s="8" t="str">
        <f>HYPERLINK("http://slimages.macys.com/is/image/MCY/14433683 ")</f>
        <v xml:space="preserve">http://slimages.macys.com/is/image/MCY/14433683 </v>
      </c>
    </row>
    <row r="84" spans="1:12" ht="24.75" x14ac:dyDescent="0.25">
      <c r="A84" s="6" t="s">
        <v>3874</v>
      </c>
      <c r="B84" s="3" t="s">
        <v>3875</v>
      </c>
      <c r="C84" s="4">
        <v>1</v>
      </c>
      <c r="D84" s="5">
        <v>34.99</v>
      </c>
      <c r="E84" s="4" t="s">
        <v>5941</v>
      </c>
      <c r="F84" s="3" t="s">
        <v>5546</v>
      </c>
      <c r="G84" s="7" t="s">
        <v>5560</v>
      </c>
      <c r="H84" s="3" t="s">
        <v>5606</v>
      </c>
      <c r="I84" s="3" t="s">
        <v>5914</v>
      </c>
      <c r="J84" s="3" t="s">
        <v>5536</v>
      </c>
      <c r="K84" s="3" t="s">
        <v>5553</v>
      </c>
      <c r="L84" s="8" t="str">
        <f>HYPERLINK("http://slimages.macys.com/is/image/MCY/11640947 ")</f>
        <v xml:space="preserve">http://slimages.macys.com/is/image/MCY/11640947 </v>
      </c>
    </row>
    <row r="85" spans="1:12" ht="24.75" x14ac:dyDescent="0.25">
      <c r="A85" s="6" t="s">
        <v>3876</v>
      </c>
      <c r="B85" s="3" t="s">
        <v>3877</v>
      </c>
      <c r="C85" s="4">
        <v>1</v>
      </c>
      <c r="D85" s="5">
        <v>40</v>
      </c>
      <c r="E85" s="4">
        <v>59624602</v>
      </c>
      <c r="F85" s="3" t="s">
        <v>5540</v>
      </c>
      <c r="G85" s="7" t="s">
        <v>5596</v>
      </c>
      <c r="H85" s="3" t="s">
        <v>3853</v>
      </c>
      <c r="I85" s="3" t="s">
        <v>3854</v>
      </c>
      <c r="J85" s="3" t="s">
        <v>5536</v>
      </c>
      <c r="K85" s="3" t="s">
        <v>5727</v>
      </c>
      <c r="L85" s="8" t="str">
        <f>HYPERLINK("http://slimages.macys.com/is/image/MCY/15950653 ")</f>
        <v xml:space="preserve">http://slimages.macys.com/is/image/MCY/15950653 </v>
      </c>
    </row>
    <row r="86" spans="1:12" ht="24.75" x14ac:dyDescent="0.25">
      <c r="A86" s="6" t="s">
        <v>3878</v>
      </c>
      <c r="B86" s="3" t="s">
        <v>3879</v>
      </c>
      <c r="C86" s="4">
        <v>1</v>
      </c>
      <c r="D86" s="5">
        <v>49.5</v>
      </c>
      <c r="E86" s="4" t="s">
        <v>3880</v>
      </c>
      <c r="F86" s="3" t="s">
        <v>5578</v>
      </c>
      <c r="G86" s="7" t="s">
        <v>5533</v>
      </c>
      <c r="H86" s="3" t="s">
        <v>7074</v>
      </c>
      <c r="I86" s="3" t="s">
        <v>7075</v>
      </c>
      <c r="J86" s="3" t="s">
        <v>5536</v>
      </c>
      <c r="K86" s="3" t="s">
        <v>5549</v>
      </c>
      <c r="L86" s="8" t="str">
        <f>HYPERLINK("http://slimages.macys.com/is/image/MCY/15632056 ")</f>
        <v xml:space="preserve">http://slimages.macys.com/is/image/MCY/15632056 </v>
      </c>
    </row>
    <row r="87" spans="1:12" ht="24.75" x14ac:dyDescent="0.25">
      <c r="A87" s="6" t="s">
        <v>3881</v>
      </c>
      <c r="B87" s="3" t="s">
        <v>3882</v>
      </c>
      <c r="C87" s="4">
        <v>1</v>
      </c>
      <c r="D87" s="5">
        <v>60</v>
      </c>
      <c r="E87" s="4">
        <v>100075474</v>
      </c>
      <c r="F87" s="3" t="s">
        <v>7189</v>
      </c>
      <c r="G87" s="7" t="s">
        <v>5560</v>
      </c>
      <c r="H87" s="3" t="s">
        <v>5585</v>
      </c>
      <c r="I87" s="3" t="s">
        <v>5734</v>
      </c>
      <c r="J87" s="3" t="s">
        <v>5536</v>
      </c>
      <c r="K87" s="3" t="s">
        <v>7190</v>
      </c>
      <c r="L87" s="8" t="str">
        <f>HYPERLINK("http://slimages.macys.com/is/image/MCY/15445295 ")</f>
        <v xml:space="preserve">http://slimages.macys.com/is/image/MCY/15445295 </v>
      </c>
    </row>
    <row r="88" spans="1:12" ht="24.75" x14ac:dyDescent="0.25">
      <c r="A88" s="6" t="s">
        <v>3883</v>
      </c>
      <c r="B88" s="3" t="s">
        <v>3884</v>
      </c>
      <c r="C88" s="4">
        <v>1</v>
      </c>
      <c r="D88" s="5">
        <v>42.99</v>
      </c>
      <c r="E88" s="4" t="s">
        <v>3885</v>
      </c>
      <c r="F88" s="3" t="s">
        <v>5532</v>
      </c>
      <c r="G88" s="7" t="s">
        <v>3886</v>
      </c>
      <c r="H88" s="3" t="s">
        <v>5892</v>
      </c>
      <c r="I88" s="3" t="s">
        <v>5893</v>
      </c>
      <c r="J88" s="3" t="s">
        <v>5536</v>
      </c>
      <c r="K88" s="3" t="s">
        <v>5727</v>
      </c>
      <c r="L88" s="8" t="str">
        <f>HYPERLINK("http://slimages.macys.com/is/image/MCY/15238818 ")</f>
        <v xml:space="preserve">http://slimages.macys.com/is/image/MCY/15238818 </v>
      </c>
    </row>
    <row r="89" spans="1:12" ht="24.75" x14ac:dyDescent="0.25">
      <c r="A89" s="6" t="s">
        <v>3887</v>
      </c>
      <c r="B89" s="3" t="s">
        <v>3888</v>
      </c>
      <c r="C89" s="4">
        <v>1</v>
      </c>
      <c r="D89" s="5">
        <v>35</v>
      </c>
      <c r="E89" s="4">
        <v>1326572</v>
      </c>
      <c r="F89" s="3" t="s">
        <v>5532</v>
      </c>
      <c r="G89" s="7" t="s">
        <v>5533</v>
      </c>
      <c r="H89" s="3" t="s">
        <v>5726</v>
      </c>
      <c r="I89" s="3" t="s">
        <v>5726</v>
      </c>
      <c r="J89" s="3" t="s">
        <v>5536</v>
      </c>
      <c r="K89" s="3" t="s">
        <v>3889</v>
      </c>
      <c r="L89" s="8" t="str">
        <f>HYPERLINK("http://slimages.macys.com/is/image/MCY/11525592 ")</f>
        <v xml:space="preserve">http://slimages.macys.com/is/image/MCY/11525592 </v>
      </c>
    </row>
    <row r="90" spans="1:12" ht="24.75" x14ac:dyDescent="0.25">
      <c r="A90" s="6" t="s">
        <v>3890</v>
      </c>
      <c r="B90" s="3" t="s">
        <v>3891</v>
      </c>
      <c r="C90" s="4">
        <v>1</v>
      </c>
      <c r="D90" s="5">
        <v>54.99</v>
      </c>
      <c r="E90" s="4" t="s">
        <v>3892</v>
      </c>
      <c r="F90" s="3" t="s">
        <v>5625</v>
      </c>
      <c r="G90" s="7" t="s">
        <v>5598</v>
      </c>
      <c r="H90" s="3" t="s">
        <v>5978</v>
      </c>
      <c r="I90" s="3" t="s">
        <v>5979</v>
      </c>
      <c r="J90" s="3" t="s">
        <v>5536</v>
      </c>
      <c r="K90" s="3" t="s">
        <v>3893</v>
      </c>
      <c r="L90" s="8" t="str">
        <f>HYPERLINK("http://slimages.macys.com/is/image/MCY/14311687 ")</f>
        <v xml:space="preserve">http://slimages.macys.com/is/image/MCY/14311687 </v>
      </c>
    </row>
    <row r="91" spans="1:12" x14ac:dyDescent="0.25">
      <c r="A91" s="6" t="s">
        <v>3894</v>
      </c>
      <c r="B91" s="3" t="s">
        <v>3895</v>
      </c>
      <c r="C91" s="4">
        <v>1</v>
      </c>
      <c r="D91" s="5">
        <v>65</v>
      </c>
      <c r="E91" s="4">
        <v>100075705</v>
      </c>
      <c r="F91" s="3" t="s">
        <v>6075</v>
      </c>
      <c r="G91" s="7" t="s">
        <v>5562</v>
      </c>
      <c r="H91" s="3" t="s">
        <v>5585</v>
      </c>
      <c r="I91" s="3" t="s">
        <v>5734</v>
      </c>
      <c r="J91" s="3" t="s">
        <v>5536</v>
      </c>
      <c r="K91" s="3" t="s">
        <v>3896</v>
      </c>
      <c r="L91" s="8" t="str">
        <f>HYPERLINK("http://slimages.macys.com/is/image/MCY/15440742 ")</f>
        <v xml:space="preserve">http://slimages.macys.com/is/image/MCY/15440742 </v>
      </c>
    </row>
    <row r="92" spans="1:12" ht="24.75" x14ac:dyDescent="0.25">
      <c r="A92" s="6" t="s">
        <v>3897</v>
      </c>
      <c r="B92" s="3" t="s">
        <v>3898</v>
      </c>
      <c r="C92" s="4">
        <v>1</v>
      </c>
      <c r="D92" s="5">
        <v>39.99</v>
      </c>
      <c r="E92" s="4">
        <v>478740001</v>
      </c>
      <c r="F92" s="3" t="s">
        <v>6075</v>
      </c>
      <c r="G92" s="7" t="s">
        <v>5662</v>
      </c>
      <c r="H92" s="3" t="s">
        <v>5807</v>
      </c>
      <c r="I92" s="3" t="s">
        <v>5808</v>
      </c>
      <c r="J92" s="3" t="s">
        <v>5536</v>
      </c>
      <c r="K92" s="3" t="s">
        <v>5641</v>
      </c>
      <c r="L92" s="8" t="str">
        <f>HYPERLINK("http://slimages.macys.com/is/image/MCY/2910875 ")</f>
        <v xml:space="preserve">http://slimages.macys.com/is/image/MCY/2910875 </v>
      </c>
    </row>
    <row r="93" spans="1:12" ht="24.75" x14ac:dyDescent="0.25">
      <c r="A93" s="6" t="s">
        <v>3899</v>
      </c>
      <c r="B93" s="3" t="s">
        <v>3900</v>
      </c>
      <c r="C93" s="4">
        <v>1</v>
      </c>
      <c r="D93" s="5">
        <v>39.99</v>
      </c>
      <c r="E93" s="4">
        <v>478740008</v>
      </c>
      <c r="F93" s="3" t="s">
        <v>5532</v>
      </c>
      <c r="G93" s="7" t="s">
        <v>5662</v>
      </c>
      <c r="H93" s="3" t="s">
        <v>5807</v>
      </c>
      <c r="I93" s="3" t="s">
        <v>5808</v>
      </c>
      <c r="J93" s="3" t="s">
        <v>5536</v>
      </c>
      <c r="K93" s="3" t="s">
        <v>5641</v>
      </c>
      <c r="L93" s="8" t="str">
        <f>HYPERLINK("http://slimages.macys.com/is/image/MCY/2910875 ")</f>
        <v xml:space="preserve">http://slimages.macys.com/is/image/MCY/2910875 </v>
      </c>
    </row>
    <row r="94" spans="1:12" x14ac:dyDescent="0.25">
      <c r="A94" s="6" t="s">
        <v>3901</v>
      </c>
      <c r="B94" s="3" t="s">
        <v>3902</v>
      </c>
      <c r="C94" s="4">
        <v>1</v>
      </c>
      <c r="D94" s="5">
        <v>34.99</v>
      </c>
      <c r="E94" s="4" t="s">
        <v>3903</v>
      </c>
      <c r="F94" s="3" t="s">
        <v>5820</v>
      </c>
      <c r="G94" s="7" t="s">
        <v>5598</v>
      </c>
      <c r="H94" s="3" t="s">
        <v>5606</v>
      </c>
      <c r="I94" s="3" t="s">
        <v>5914</v>
      </c>
      <c r="J94" s="3" t="s">
        <v>5536</v>
      </c>
      <c r="K94" s="3" t="s">
        <v>5574</v>
      </c>
      <c r="L94" s="8" t="str">
        <f>HYPERLINK("http://slimages.macys.com/is/image/MCY/14907508 ")</f>
        <v xml:space="preserve">http://slimages.macys.com/is/image/MCY/14907508 </v>
      </c>
    </row>
    <row r="95" spans="1:12" ht="24.75" x14ac:dyDescent="0.25">
      <c r="A95" s="6" t="s">
        <v>3904</v>
      </c>
      <c r="B95" s="3" t="s">
        <v>5967</v>
      </c>
      <c r="C95" s="4">
        <v>1</v>
      </c>
      <c r="D95" s="5">
        <v>34.99</v>
      </c>
      <c r="E95" s="4" t="s">
        <v>5968</v>
      </c>
      <c r="F95" s="3" t="s">
        <v>5945</v>
      </c>
      <c r="G95" s="7" t="s">
        <v>5598</v>
      </c>
      <c r="H95" s="3" t="s">
        <v>5606</v>
      </c>
      <c r="I95" s="3" t="s">
        <v>5914</v>
      </c>
      <c r="J95" s="3" t="s">
        <v>5536</v>
      </c>
      <c r="K95" s="3" t="s">
        <v>5574</v>
      </c>
      <c r="L95" s="8" t="str">
        <f>HYPERLINK("http://slimages.macys.com/is/image/MCY/14350785 ")</f>
        <v xml:space="preserve">http://slimages.macys.com/is/image/MCY/14350785 </v>
      </c>
    </row>
    <row r="96" spans="1:12" ht="24.75" x14ac:dyDescent="0.25">
      <c r="A96" s="6" t="s">
        <v>3905</v>
      </c>
      <c r="B96" s="3" t="s">
        <v>3906</v>
      </c>
      <c r="C96" s="4">
        <v>1</v>
      </c>
      <c r="D96" s="5">
        <v>40</v>
      </c>
      <c r="E96" s="4">
        <v>1327426</v>
      </c>
      <c r="F96" s="3" t="s">
        <v>5783</v>
      </c>
      <c r="G96" s="7" t="s">
        <v>5562</v>
      </c>
      <c r="H96" s="3" t="s">
        <v>5794</v>
      </c>
      <c r="I96" s="3" t="s">
        <v>5726</v>
      </c>
      <c r="J96" s="3" t="s">
        <v>5536</v>
      </c>
      <c r="K96" s="3" t="s">
        <v>5641</v>
      </c>
      <c r="L96" s="8" t="str">
        <f>HYPERLINK("http://slimages.macys.com/is/image/MCY/11954333 ")</f>
        <v xml:space="preserve">http://slimages.macys.com/is/image/MCY/11954333 </v>
      </c>
    </row>
    <row r="97" spans="1:12" ht="24.75" x14ac:dyDescent="0.25">
      <c r="A97" s="6" t="s">
        <v>3907</v>
      </c>
      <c r="B97" s="3" t="s">
        <v>3908</v>
      </c>
      <c r="C97" s="4">
        <v>1</v>
      </c>
      <c r="D97" s="5">
        <v>38.99</v>
      </c>
      <c r="E97" s="4" t="s">
        <v>3909</v>
      </c>
      <c r="F97" s="3" t="s">
        <v>5540</v>
      </c>
      <c r="G97" s="7" t="s">
        <v>5999</v>
      </c>
      <c r="H97" s="3" t="s">
        <v>5892</v>
      </c>
      <c r="I97" s="3" t="s">
        <v>5893</v>
      </c>
      <c r="J97" s="3" t="s">
        <v>5536</v>
      </c>
      <c r="K97" s="3" t="s">
        <v>5549</v>
      </c>
      <c r="L97" s="8" t="str">
        <f>HYPERLINK("http://slimages.macys.com/is/image/MCY/15238118 ")</f>
        <v xml:space="preserve">http://slimages.macys.com/is/image/MCY/15238118 </v>
      </c>
    </row>
    <row r="98" spans="1:12" ht="24.75" x14ac:dyDescent="0.25">
      <c r="A98" s="6" t="s">
        <v>3910</v>
      </c>
      <c r="B98" s="3" t="s">
        <v>3911</v>
      </c>
      <c r="C98" s="4">
        <v>1</v>
      </c>
      <c r="D98" s="5">
        <v>29.99</v>
      </c>
      <c r="E98" s="4" t="s">
        <v>3912</v>
      </c>
      <c r="F98" s="3" t="s">
        <v>5616</v>
      </c>
      <c r="G98" s="7" t="s">
        <v>5533</v>
      </c>
      <c r="H98" s="3" t="s">
        <v>5606</v>
      </c>
      <c r="I98" s="3" t="s">
        <v>5914</v>
      </c>
      <c r="J98" s="3" t="s">
        <v>5536</v>
      </c>
      <c r="K98" s="3" t="s">
        <v>5594</v>
      </c>
      <c r="L98" s="8" t="str">
        <f>HYPERLINK("http://slimages.macys.com/is/image/MCY/14907524 ")</f>
        <v xml:space="preserve">http://slimages.macys.com/is/image/MCY/14907524 </v>
      </c>
    </row>
    <row r="99" spans="1:12" ht="24.75" x14ac:dyDescent="0.25">
      <c r="A99" s="6" t="s">
        <v>3913</v>
      </c>
      <c r="B99" s="3" t="s">
        <v>3914</v>
      </c>
      <c r="C99" s="4">
        <v>1</v>
      </c>
      <c r="D99" s="5">
        <v>34.99</v>
      </c>
      <c r="E99" s="4">
        <v>328960005</v>
      </c>
      <c r="F99" s="3" t="s">
        <v>5552</v>
      </c>
      <c r="G99" s="7"/>
      <c r="H99" s="3" t="s">
        <v>5807</v>
      </c>
      <c r="I99" s="3" t="s">
        <v>5808</v>
      </c>
      <c r="J99" s="3" t="s">
        <v>5536</v>
      </c>
      <c r="K99" s="3" t="s">
        <v>5641</v>
      </c>
      <c r="L99" s="8" t="str">
        <f>HYPERLINK("http://slimages.macys.com/is/image/MCY/8797311 ")</f>
        <v xml:space="preserve">http://slimages.macys.com/is/image/MCY/8797311 </v>
      </c>
    </row>
    <row r="100" spans="1:12" ht="24.75" x14ac:dyDescent="0.25">
      <c r="A100" s="6" t="s">
        <v>3915</v>
      </c>
      <c r="B100" s="3" t="s">
        <v>3916</v>
      </c>
      <c r="C100" s="4">
        <v>1</v>
      </c>
      <c r="D100" s="5">
        <v>50</v>
      </c>
      <c r="E100" s="4" t="s">
        <v>3917</v>
      </c>
      <c r="F100" s="3" t="s">
        <v>5820</v>
      </c>
      <c r="G100" s="7" t="s">
        <v>5650</v>
      </c>
      <c r="H100" s="3" t="s">
        <v>6019</v>
      </c>
      <c r="I100" s="3" t="s">
        <v>3918</v>
      </c>
      <c r="J100" s="3" t="s">
        <v>5536</v>
      </c>
      <c r="K100" s="3" t="s">
        <v>6021</v>
      </c>
      <c r="L100" s="8" t="str">
        <f t="shared" ref="L100:L106" si="0">HYPERLINK("http://slimages.macys.com/is/image/MCY/15863240 ")</f>
        <v xml:space="preserve">http://slimages.macys.com/is/image/MCY/15863240 </v>
      </c>
    </row>
    <row r="101" spans="1:12" ht="24.75" x14ac:dyDescent="0.25">
      <c r="A101" s="6" t="s">
        <v>3919</v>
      </c>
      <c r="B101" s="3" t="s">
        <v>3916</v>
      </c>
      <c r="C101" s="4">
        <v>2</v>
      </c>
      <c r="D101" s="5">
        <v>100</v>
      </c>
      <c r="E101" s="4" t="s">
        <v>3917</v>
      </c>
      <c r="F101" s="3" t="s">
        <v>5820</v>
      </c>
      <c r="G101" s="7" t="s">
        <v>5557</v>
      </c>
      <c r="H101" s="3" t="s">
        <v>6019</v>
      </c>
      <c r="I101" s="3" t="s">
        <v>3918</v>
      </c>
      <c r="J101" s="3" t="s">
        <v>5536</v>
      </c>
      <c r="K101" s="3" t="s">
        <v>6021</v>
      </c>
      <c r="L101" s="8" t="str">
        <f t="shared" si="0"/>
        <v xml:space="preserve">http://slimages.macys.com/is/image/MCY/15863240 </v>
      </c>
    </row>
    <row r="102" spans="1:12" ht="24.75" x14ac:dyDescent="0.25">
      <c r="A102" s="6" t="s">
        <v>3920</v>
      </c>
      <c r="B102" s="3" t="s">
        <v>3916</v>
      </c>
      <c r="C102" s="4">
        <v>1</v>
      </c>
      <c r="D102" s="5">
        <v>50</v>
      </c>
      <c r="E102" s="4" t="s">
        <v>3917</v>
      </c>
      <c r="F102" s="3" t="s">
        <v>5820</v>
      </c>
      <c r="G102" s="7" t="s">
        <v>5680</v>
      </c>
      <c r="H102" s="3" t="s">
        <v>6019</v>
      </c>
      <c r="I102" s="3" t="s">
        <v>3918</v>
      </c>
      <c r="J102" s="3" t="s">
        <v>5536</v>
      </c>
      <c r="K102" s="3" t="s">
        <v>6021</v>
      </c>
      <c r="L102" s="8" t="str">
        <f t="shared" si="0"/>
        <v xml:space="preserve">http://slimages.macys.com/is/image/MCY/15863240 </v>
      </c>
    </row>
    <row r="103" spans="1:12" ht="24.75" x14ac:dyDescent="0.25">
      <c r="A103" s="6" t="s">
        <v>3921</v>
      </c>
      <c r="B103" s="3" t="s">
        <v>3916</v>
      </c>
      <c r="C103" s="4">
        <v>1</v>
      </c>
      <c r="D103" s="5">
        <v>50</v>
      </c>
      <c r="E103" s="4" t="s">
        <v>3917</v>
      </c>
      <c r="F103" s="3" t="s">
        <v>5820</v>
      </c>
      <c r="G103" s="7"/>
      <c r="H103" s="3" t="s">
        <v>6019</v>
      </c>
      <c r="I103" s="3" t="s">
        <v>3918</v>
      </c>
      <c r="J103" s="3" t="s">
        <v>5536</v>
      </c>
      <c r="K103" s="3" t="s">
        <v>6021</v>
      </c>
      <c r="L103" s="8" t="str">
        <f t="shared" si="0"/>
        <v xml:space="preserve">http://slimages.macys.com/is/image/MCY/15863240 </v>
      </c>
    </row>
    <row r="104" spans="1:12" ht="24.75" x14ac:dyDescent="0.25">
      <c r="A104" s="6" t="s">
        <v>3922</v>
      </c>
      <c r="B104" s="3" t="s">
        <v>3916</v>
      </c>
      <c r="C104" s="4">
        <v>2</v>
      </c>
      <c r="D104" s="5">
        <v>100</v>
      </c>
      <c r="E104" s="4" t="s">
        <v>3917</v>
      </c>
      <c r="F104" s="3" t="s">
        <v>5820</v>
      </c>
      <c r="G104" s="7" t="s">
        <v>5567</v>
      </c>
      <c r="H104" s="3" t="s">
        <v>6019</v>
      </c>
      <c r="I104" s="3" t="s">
        <v>3918</v>
      </c>
      <c r="J104" s="3" t="s">
        <v>5536</v>
      </c>
      <c r="K104" s="3" t="s">
        <v>6021</v>
      </c>
      <c r="L104" s="8" t="str">
        <f t="shared" si="0"/>
        <v xml:space="preserve">http://slimages.macys.com/is/image/MCY/15863240 </v>
      </c>
    </row>
    <row r="105" spans="1:12" ht="24.75" x14ac:dyDescent="0.25">
      <c r="A105" s="6" t="s">
        <v>3923</v>
      </c>
      <c r="B105" s="3" t="s">
        <v>3916</v>
      </c>
      <c r="C105" s="4">
        <v>1</v>
      </c>
      <c r="D105" s="5">
        <v>50</v>
      </c>
      <c r="E105" s="4" t="s">
        <v>3917</v>
      </c>
      <c r="F105" s="3" t="s">
        <v>5820</v>
      </c>
      <c r="G105" s="7" t="s">
        <v>5694</v>
      </c>
      <c r="H105" s="3" t="s">
        <v>6019</v>
      </c>
      <c r="I105" s="3" t="s">
        <v>3918</v>
      </c>
      <c r="J105" s="3" t="s">
        <v>5536</v>
      </c>
      <c r="K105" s="3" t="s">
        <v>6021</v>
      </c>
      <c r="L105" s="8" t="str">
        <f t="shared" si="0"/>
        <v xml:space="preserve">http://slimages.macys.com/is/image/MCY/15863240 </v>
      </c>
    </row>
    <row r="106" spans="1:12" ht="24.75" x14ac:dyDescent="0.25">
      <c r="A106" s="6" t="s">
        <v>3924</v>
      </c>
      <c r="B106" s="3" t="s">
        <v>3916</v>
      </c>
      <c r="C106" s="4">
        <v>1</v>
      </c>
      <c r="D106" s="5">
        <v>50</v>
      </c>
      <c r="E106" s="4" t="s">
        <v>3917</v>
      </c>
      <c r="F106" s="3" t="s">
        <v>5820</v>
      </c>
      <c r="G106" s="7" t="s">
        <v>5672</v>
      </c>
      <c r="H106" s="3" t="s">
        <v>6019</v>
      </c>
      <c r="I106" s="3" t="s">
        <v>3918</v>
      </c>
      <c r="J106" s="3" t="s">
        <v>5536</v>
      </c>
      <c r="K106" s="3" t="s">
        <v>6021</v>
      </c>
      <c r="L106" s="8" t="str">
        <f t="shared" si="0"/>
        <v xml:space="preserve">http://slimages.macys.com/is/image/MCY/15863240 </v>
      </c>
    </row>
    <row r="107" spans="1:12" ht="24.75" x14ac:dyDescent="0.25">
      <c r="A107" s="6" t="s">
        <v>3925</v>
      </c>
      <c r="B107" s="3" t="s">
        <v>3926</v>
      </c>
      <c r="C107" s="4">
        <v>1</v>
      </c>
      <c r="D107" s="5">
        <v>36.99</v>
      </c>
      <c r="E107" s="4" t="s">
        <v>3927</v>
      </c>
      <c r="F107" s="3" t="s">
        <v>5532</v>
      </c>
      <c r="G107" s="7" t="s">
        <v>5999</v>
      </c>
      <c r="H107" s="3" t="s">
        <v>5892</v>
      </c>
      <c r="I107" s="3" t="s">
        <v>5893</v>
      </c>
      <c r="J107" s="3" t="s">
        <v>5536</v>
      </c>
      <c r="K107" s="3" t="s">
        <v>5549</v>
      </c>
      <c r="L107" s="8" t="str">
        <f>HYPERLINK("http://slimages.macys.com/is/image/MCY/16584939 ")</f>
        <v xml:space="preserve">http://slimages.macys.com/is/image/MCY/16584939 </v>
      </c>
    </row>
    <row r="108" spans="1:12" ht="24.75" x14ac:dyDescent="0.25">
      <c r="A108" s="6" t="s">
        <v>3928</v>
      </c>
      <c r="B108" s="3" t="s">
        <v>3929</v>
      </c>
      <c r="C108" s="4">
        <v>1</v>
      </c>
      <c r="D108" s="5">
        <v>35.99</v>
      </c>
      <c r="E108" s="4" t="s">
        <v>3930</v>
      </c>
      <c r="F108" s="3" t="s">
        <v>5977</v>
      </c>
      <c r="G108" s="7" t="s">
        <v>5573</v>
      </c>
      <c r="H108" s="3" t="s">
        <v>5892</v>
      </c>
      <c r="I108" s="3" t="s">
        <v>5893</v>
      </c>
      <c r="J108" s="3" t="s">
        <v>5536</v>
      </c>
      <c r="K108" s="3" t="s">
        <v>5727</v>
      </c>
      <c r="L108" s="8" t="str">
        <f>HYPERLINK("http://slimages.macys.com/is/image/MCY/15236572 ")</f>
        <v xml:space="preserve">http://slimages.macys.com/is/image/MCY/15236572 </v>
      </c>
    </row>
    <row r="109" spans="1:12" ht="24.75" x14ac:dyDescent="0.25">
      <c r="A109" s="6" t="s">
        <v>3931</v>
      </c>
      <c r="B109" s="3" t="s">
        <v>3932</v>
      </c>
      <c r="C109" s="4">
        <v>1</v>
      </c>
      <c r="D109" s="5">
        <v>45</v>
      </c>
      <c r="E109" s="4">
        <v>85503146</v>
      </c>
      <c r="F109" s="3" t="s">
        <v>5610</v>
      </c>
      <c r="G109" s="7" t="s">
        <v>5562</v>
      </c>
      <c r="H109" s="3" t="s">
        <v>3853</v>
      </c>
      <c r="I109" s="3" t="s">
        <v>3854</v>
      </c>
      <c r="J109" s="3" t="s">
        <v>5536</v>
      </c>
      <c r="K109" s="3" t="s">
        <v>6610</v>
      </c>
      <c r="L109" s="8" t="str">
        <f>HYPERLINK("http://slimages.macys.com/is/image/MCY/14574597 ")</f>
        <v xml:space="preserve">http://slimages.macys.com/is/image/MCY/14574597 </v>
      </c>
    </row>
    <row r="110" spans="1:12" ht="24.75" x14ac:dyDescent="0.25">
      <c r="A110" s="6" t="s">
        <v>3933</v>
      </c>
      <c r="B110" s="3" t="s">
        <v>3932</v>
      </c>
      <c r="C110" s="4">
        <v>1</v>
      </c>
      <c r="D110" s="5">
        <v>45</v>
      </c>
      <c r="E110" s="4">
        <v>85503146</v>
      </c>
      <c r="F110" s="3" t="s">
        <v>5610</v>
      </c>
      <c r="G110" s="7" t="s">
        <v>5596</v>
      </c>
      <c r="H110" s="3" t="s">
        <v>3853</v>
      </c>
      <c r="I110" s="3" t="s">
        <v>3854</v>
      </c>
      <c r="J110" s="3" t="s">
        <v>5536</v>
      </c>
      <c r="K110" s="3" t="s">
        <v>6610</v>
      </c>
      <c r="L110" s="8" t="str">
        <f>HYPERLINK("http://slimages.macys.com/is/image/MCY/14574597 ")</f>
        <v xml:space="preserve">http://slimages.macys.com/is/image/MCY/14574597 </v>
      </c>
    </row>
    <row r="111" spans="1:12" ht="24.75" x14ac:dyDescent="0.25">
      <c r="A111" s="6" t="s">
        <v>3934</v>
      </c>
      <c r="B111" s="3" t="s">
        <v>3932</v>
      </c>
      <c r="C111" s="4">
        <v>1</v>
      </c>
      <c r="D111" s="5">
        <v>45</v>
      </c>
      <c r="E111" s="4">
        <v>85503147</v>
      </c>
      <c r="F111" s="3" t="s">
        <v>6217</v>
      </c>
      <c r="G111" s="7" t="s">
        <v>5560</v>
      </c>
      <c r="H111" s="3" t="s">
        <v>3853</v>
      </c>
      <c r="I111" s="3" t="s">
        <v>3854</v>
      </c>
      <c r="J111" s="3" t="s">
        <v>5536</v>
      </c>
      <c r="K111" s="3" t="s">
        <v>6610</v>
      </c>
      <c r="L111" s="8" t="str">
        <f>HYPERLINK("http://slimages.macys.com/is/image/MCY/14574597 ")</f>
        <v xml:space="preserve">http://slimages.macys.com/is/image/MCY/14574597 </v>
      </c>
    </row>
    <row r="112" spans="1:12" ht="24.75" x14ac:dyDescent="0.25">
      <c r="A112" s="6" t="s">
        <v>3935</v>
      </c>
      <c r="B112" s="3" t="s">
        <v>3936</v>
      </c>
      <c r="C112" s="4">
        <v>1</v>
      </c>
      <c r="D112" s="5">
        <v>39.99</v>
      </c>
      <c r="E112" s="4" t="s">
        <v>3937</v>
      </c>
      <c r="F112" s="3" t="s">
        <v>6075</v>
      </c>
      <c r="G112" s="7" t="s">
        <v>5562</v>
      </c>
      <c r="H112" s="3" t="s">
        <v>6065</v>
      </c>
      <c r="I112" s="3" t="s">
        <v>6066</v>
      </c>
      <c r="J112" s="3" t="s">
        <v>5536</v>
      </c>
      <c r="K112" s="3" t="s">
        <v>5549</v>
      </c>
      <c r="L112" s="8" t="str">
        <f>HYPERLINK("http://slimages.macys.com/is/image/MCY/15503262 ")</f>
        <v xml:space="preserve">http://slimages.macys.com/is/image/MCY/15503262 </v>
      </c>
    </row>
    <row r="113" spans="1:12" x14ac:dyDescent="0.25">
      <c r="A113" s="6" t="s">
        <v>3938</v>
      </c>
      <c r="B113" s="3" t="s">
        <v>6052</v>
      </c>
      <c r="C113" s="4">
        <v>1</v>
      </c>
      <c r="D113" s="5">
        <v>44.99</v>
      </c>
      <c r="E113" s="4" t="s">
        <v>6053</v>
      </c>
      <c r="F113" s="3" t="s">
        <v>5977</v>
      </c>
      <c r="G113" s="7" t="s">
        <v>5596</v>
      </c>
      <c r="H113" s="3" t="s">
        <v>5978</v>
      </c>
      <c r="I113" s="3" t="s">
        <v>5979</v>
      </c>
      <c r="J113" s="3" t="s">
        <v>5536</v>
      </c>
      <c r="K113" s="3" t="s">
        <v>5553</v>
      </c>
      <c r="L113" s="8" t="str">
        <f>HYPERLINK("http://slimages.macys.com/is/image/MCY/14335950 ")</f>
        <v xml:space="preserve">http://slimages.macys.com/is/image/MCY/14335950 </v>
      </c>
    </row>
    <row r="114" spans="1:12" ht="24.75" x14ac:dyDescent="0.25">
      <c r="A114" s="6" t="s">
        <v>3939</v>
      </c>
      <c r="B114" s="3" t="s">
        <v>3940</v>
      </c>
      <c r="C114" s="4">
        <v>1</v>
      </c>
      <c r="D114" s="5">
        <v>50</v>
      </c>
      <c r="E114" s="4">
        <v>10003810600</v>
      </c>
      <c r="F114" s="3" t="s">
        <v>6271</v>
      </c>
      <c r="G114" s="7" t="s">
        <v>5562</v>
      </c>
      <c r="H114" s="3" t="s">
        <v>3941</v>
      </c>
      <c r="I114" s="3" t="s">
        <v>3942</v>
      </c>
      <c r="J114" s="3" t="s">
        <v>5536</v>
      </c>
      <c r="K114" s="3" t="s">
        <v>5727</v>
      </c>
      <c r="L114" s="8" t="str">
        <f>HYPERLINK("http://slimages.macys.com/is/image/MCY/11621770 ")</f>
        <v xml:space="preserve">http://slimages.macys.com/is/image/MCY/11621770 </v>
      </c>
    </row>
    <row r="115" spans="1:12" ht="24.75" x14ac:dyDescent="0.25">
      <c r="A115" s="6" t="s">
        <v>3943</v>
      </c>
      <c r="B115" s="3" t="s">
        <v>3940</v>
      </c>
      <c r="C115" s="4">
        <v>1</v>
      </c>
      <c r="D115" s="5">
        <v>50</v>
      </c>
      <c r="E115" s="4">
        <v>10003810600</v>
      </c>
      <c r="F115" s="3" t="s">
        <v>6271</v>
      </c>
      <c r="G115" s="7" t="s">
        <v>5598</v>
      </c>
      <c r="H115" s="3" t="s">
        <v>3941</v>
      </c>
      <c r="I115" s="3" t="s">
        <v>3942</v>
      </c>
      <c r="J115" s="3" t="s">
        <v>5536</v>
      </c>
      <c r="K115" s="3" t="s">
        <v>5727</v>
      </c>
      <c r="L115" s="8" t="str">
        <f>HYPERLINK("http://slimages.macys.com/is/image/MCY/11621770 ")</f>
        <v xml:space="preserve">http://slimages.macys.com/is/image/MCY/11621770 </v>
      </c>
    </row>
    <row r="116" spans="1:12" ht="24.75" x14ac:dyDescent="0.25">
      <c r="A116" s="6" t="s">
        <v>3944</v>
      </c>
      <c r="B116" s="3" t="s">
        <v>3945</v>
      </c>
      <c r="C116" s="4">
        <v>1</v>
      </c>
      <c r="D116" s="5">
        <v>45</v>
      </c>
      <c r="E116" s="4" t="s">
        <v>3946</v>
      </c>
      <c r="F116" s="3" t="s">
        <v>5625</v>
      </c>
      <c r="G116" s="7" t="s">
        <v>5596</v>
      </c>
      <c r="H116" s="3" t="s">
        <v>6492</v>
      </c>
      <c r="I116" s="3" t="s">
        <v>6604</v>
      </c>
      <c r="J116" s="3" t="s">
        <v>5536</v>
      </c>
      <c r="K116" s="3" t="s">
        <v>5574</v>
      </c>
      <c r="L116" s="8" t="str">
        <f>HYPERLINK("http://slimages.macys.com/is/image/MCY/15434559 ")</f>
        <v xml:space="preserve">http://slimages.macys.com/is/image/MCY/15434559 </v>
      </c>
    </row>
    <row r="117" spans="1:12" ht="24.75" x14ac:dyDescent="0.25">
      <c r="A117" s="6" t="s">
        <v>3947</v>
      </c>
      <c r="B117" s="3" t="s">
        <v>3945</v>
      </c>
      <c r="C117" s="4">
        <v>1</v>
      </c>
      <c r="D117" s="5">
        <v>45</v>
      </c>
      <c r="E117" s="4" t="s">
        <v>3946</v>
      </c>
      <c r="F117" s="3" t="s">
        <v>5625</v>
      </c>
      <c r="G117" s="7" t="s">
        <v>5598</v>
      </c>
      <c r="H117" s="3" t="s">
        <v>6492</v>
      </c>
      <c r="I117" s="3" t="s">
        <v>6604</v>
      </c>
      <c r="J117" s="3" t="s">
        <v>5536</v>
      </c>
      <c r="K117" s="3" t="s">
        <v>5574</v>
      </c>
      <c r="L117" s="8" t="str">
        <f>HYPERLINK("http://slimages.macys.com/is/image/MCY/15434559 ")</f>
        <v xml:space="preserve">http://slimages.macys.com/is/image/MCY/15434559 </v>
      </c>
    </row>
    <row r="118" spans="1:12" ht="24.75" x14ac:dyDescent="0.25">
      <c r="A118" s="6" t="s">
        <v>3948</v>
      </c>
      <c r="B118" s="3" t="s">
        <v>3949</v>
      </c>
      <c r="C118" s="4">
        <v>1</v>
      </c>
      <c r="D118" s="5">
        <v>42.99</v>
      </c>
      <c r="E118" s="4" t="s">
        <v>3950</v>
      </c>
      <c r="F118" s="3" t="s">
        <v>5714</v>
      </c>
      <c r="G118" s="7" t="s">
        <v>5560</v>
      </c>
      <c r="H118" s="3" t="s">
        <v>6003</v>
      </c>
      <c r="I118" s="3" t="s">
        <v>6004</v>
      </c>
      <c r="J118" s="3" t="s">
        <v>5536</v>
      </c>
      <c r="K118" s="3" t="s">
        <v>6071</v>
      </c>
      <c r="L118" s="8" t="str">
        <f>HYPERLINK("http://slimages.macys.com/is/image/MCY/8759351 ")</f>
        <v xml:space="preserve">http://slimages.macys.com/is/image/MCY/8759351 </v>
      </c>
    </row>
    <row r="119" spans="1:12" x14ac:dyDescent="0.25">
      <c r="A119" s="6" t="s">
        <v>3951</v>
      </c>
      <c r="B119" s="3" t="s">
        <v>3949</v>
      </c>
      <c r="C119" s="4">
        <v>2</v>
      </c>
      <c r="D119" s="5">
        <v>85.98</v>
      </c>
      <c r="E119" s="4" t="s">
        <v>3950</v>
      </c>
      <c r="F119" s="3" t="s">
        <v>5578</v>
      </c>
      <c r="G119" s="7" t="s">
        <v>5560</v>
      </c>
      <c r="H119" s="3" t="s">
        <v>6003</v>
      </c>
      <c r="I119" s="3" t="s">
        <v>6004</v>
      </c>
      <c r="J119" s="3" t="s">
        <v>5536</v>
      </c>
      <c r="K119" s="3" t="s">
        <v>6071</v>
      </c>
      <c r="L119" s="8" t="str">
        <f>HYPERLINK("http://slimages.macys.com/is/image/MCY/8759351 ")</f>
        <v xml:space="preserve">http://slimages.macys.com/is/image/MCY/8759351 </v>
      </c>
    </row>
    <row r="120" spans="1:12" ht="24.75" x14ac:dyDescent="0.25">
      <c r="A120" s="6" t="s">
        <v>3952</v>
      </c>
      <c r="B120" s="3" t="s">
        <v>3949</v>
      </c>
      <c r="C120" s="4">
        <v>1</v>
      </c>
      <c r="D120" s="5">
        <v>42.99</v>
      </c>
      <c r="E120" s="4" t="s">
        <v>3950</v>
      </c>
      <c r="F120" s="3" t="s">
        <v>6410</v>
      </c>
      <c r="G120" s="7" t="s">
        <v>5596</v>
      </c>
      <c r="H120" s="3" t="s">
        <v>6003</v>
      </c>
      <c r="I120" s="3" t="s">
        <v>6004</v>
      </c>
      <c r="J120" s="3" t="s">
        <v>5536</v>
      </c>
      <c r="K120" s="3" t="s">
        <v>6071</v>
      </c>
      <c r="L120" s="8" t="str">
        <f>HYPERLINK("http://slimages.macys.com/is/image/MCY/8759351 ")</f>
        <v xml:space="preserve">http://slimages.macys.com/is/image/MCY/8759351 </v>
      </c>
    </row>
    <row r="121" spans="1:12" x14ac:dyDescent="0.25">
      <c r="A121" s="6" t="s">
        <v>3953</v>
      </c>
      <c r="B121" s="3" t="s">
        <v>3949</v>
      </c>
      <c r="C121" s="4">
        <v>1</v>
      </c>
      <c r="D121" s="5">
        <v>42.99</v>
      </c>
      <c r="E121" s="4" t="s">
        <v>3950</v>
      </c>
      <c r="F121" s="3" t="s">
        <v>5540</v>
      </c>
      <c r="G121" s="7" t="s">
        <v>5533</v>
      </c>
      <c r="H121" s="3" t="s">
        <v>6003</v>
      </c>
      <c r="I121" s="3" t="s">
        <v>6004</v>
      </c>
      <c r="J121" s="3" t="s">
        <v>5536</v>
      </c>
      <c r="K121" s="3" t="s">
        <v>6071</v>
      </c>
      <c r="L121" s="8" t="str">
        <f>HYPERLINK("http://slimages.macys.com/is/image/MCY/8759351 ")</f>
        <v xml:space="preserve">http://slimages.macys.com/is/image/MCY/8759351 </v>
      </c>
    </row>
    <row r="122" spans="1:12" ht="24.75" x14ac:dyDescent="0.25">
      <c r="A122" s="6" t="s">
        <v>3954</v>
      </c>
      <c r="B122" s="3" t="s">
        <v>3955</v>
      </c>
      <c r="C122" s="4">
        <v>1</v>
      </c>
      <c r="D122" s="5">
        <v>42.5</v>
      </c>
      <c r="E122" s="4" t="s">
        <v>3956</v>
      </c>
      <c r="F122" s="3" t="s">
        <v>5754</v>
      </c>
      <c r="G122" s="7" t="s">
        <v>5596</v>
      </c>
      <c r="H122" s="3" t="s">
        <v>5794</v>
      </c>
      <c r="I122" s="3" t="s">
        <v>3957</v>
      </c>
      <c r="J122" s="3" t="s">
        <v>5536</v>
      </c>
      <c r="K122" s="3" t="s">
        <v>5549</v>
      </c>
      <c r="L122" s="8" t="str">
        <f>HYPERLINK("http://slimages.macys.com/is/image/MCY/13742368 ")</f>
        <v xml:space="preserve">http://slimages.macys.com/is/image/MCY/13742368 </v>
      </c>
    </row>
    <row r="123" spans="1:12" ht="24.75" x14ac:dyDescent="0.25">
      <c r="A123" s="6" t="s">
        <v>3958</v>
      </c>
      <c r="B123" s="3" t="s">
        <v>6063</v>
      </c>
      <c r="C123" s="4">
        <v>1</v>
      </c>
      <c r="D123" s="5">
        <v>39.99</v>
      </c>
      <c r="E123" s="4" t="s">
        <v>6064</v>
      </c>
      <c r="F123" s="3" t="s">
        <v>5540</v>
      </c>
      <c r="G123" s="7" t="s">
        <v>5533</v>
      </c>
      <c r="H123" s="3" t="s">
        <v>6065</v>
      </c>
      <c r="I123" s="3" t="s">
        <v>6066</v>
      </c>
      <c r="J123" s="3" t="s">
        <v>5536</v>
      </c>
      <c r="K123" s="3" t="s">
        <v>6067</v>
      </c>
      <c r="L123" s="8" t="str">
        <f>HYPERLINK("http://slimages.macys.com/is/image/MCY/15368747 ")</f>
        <v xml:space="preserve">http://slimages.macys.com/is/image/MCY/15368747 </v>
      </c>
    </row>
    <row r="124" spans="1:12" x14ac:dyDescent="0.25">
      <c r="A124" s="6" t="s">
        <v>3959</v>
      </c>
      <c r="B124" s="3" t="s">
        <v>6077</v>
      </c>
      <c r="C124" s="4">
        <v>2</v>
      </c>
      <c r="D124" s="5">
        <v>79.98</v>
      </c>
      <c r="E124" s="4" t="s">
        <v>6078</v>
      </c>
      <c r="F124" s="3" t="s">
        <v>5540</v>
      </c>
      <c r="G124" s="7" t="s">
        <v>5533</v>
      </c>
      <c r="H124" s="3" t="s">
        <v>6065</v>
      </c>
      <c r="I124" s="3" t="s">
        <v>6066</v>
      </c>
      <c r="J124" s="3" t="s">
        <v>5536</v>
      </c>
      <c r="K124" s="3" t="s">
        <v>5594</v>
      </c>
      <c r="L124" s="8" t="str">
        <f>HYPERLINK("http://slimages.macys.com/is/image/MCY/14825531 ")</f>
        <v xml:space="preserve">http://slimages.macys.com/is/image/MCY/14825531 </v>
      </c>
    </row>
    <row r="125" spans="1:12" ht="24.75" x14ac:dyDescent="0.25">
      <c r="A125" s="6" t="s">
        <v>3960</v>
      </c>
      <c r="B125" s="3" t="s">
        <v>3961</v>
      </c>
      <c r="C125" s="4">
        <v>1</v>
      </c>
      <c r="D125" s="5">
        <v>49.99</v>
      </c>
      <c r="E125" s="4" t="s">
        <v>3962</v>
      </c>
      <c r="F125" s="3" t="s">
        <v>5625</v>
      </c>
      <c r="G125" s="7" t="s">
        <v>5560</v>
      </c>
      <c r="H125" s="3" t="s">
        <v>3963</v>
      </c>
      <c r="I125" s="3" t="s">
        <v>3964</v>
      </c>
      <c r="J125" s="3" t="s">
        <v>5536</v>
      </c>
      <c r="K125" s="3" t="s">
        <v>5574</v>
      </c>
      <c r="L125" s="8" t="str">
        <f>HYPERLINK("http://slimages.macys.com/is/image/MCY/14908685 ")</f>
        <v xml:space="preserve">http://slimages.macys.com/is/image/MCY/14908685 </v>
      </c>
    </row>
    <row r="126" spans="1:12" ht="24.75" x14ac:dyDescent="0.25">
      <c r="A126" s="6" t="s">
        <v>3965</v>
      </c>
      <c r="B126" s="3" t="s">
        <v>3961</v>
      </c>
      <c r="C126" s="4">
        <v>1</v>
      </c>
      <c r="D126" s="5">
        <v>49.99</v>
      </c>
      <c r="E126" s="4" t="s">
        <v>3962</v>
      </c>
      <c r="F126" s="3" t="s">
        <v>5625</v>
      </c>
      <c r="G126" s="7" t="s">
        <v>5533</v>
      </c>
      <c r="H126" s="3" t="s">
        <v>3963</v>
      </c>
      <c r="I126" s="3" t="s">
        <v>3964</v>
      </c>
      <c r="J126" s="3" t="s">
        <v>5536</v>
      </c>
      <c r="K126" s="3" t="s">
        <v>5574</v>
      </c>
      <c r="L126" s="8" t="str">
        <f>HYPERLINK("http://slimages.macys.com/is/image/MCY/14908685 ")</f>
        <v xml:space="preserve">http://slimages.macys.com/is/image/MCY/14908685 </v>
      </c>
    </row>
    <row r="127" spans="1:12" ht="24.75" x14ac:dyDescent="0.25">
      <c r="A127" s="6" t="s">
        <v>3966</v>
      </c>
      <c r="B127" s="3" t="s">
        <v>3967</v>
      </c>
      <c r="C127" s="4">
        <v>1</v>
      </c>
      <c r="D127" s="5">
        <v>30</v>
      </c>
      <c r="E127" s="4">
        <v>59672231</v>
      </c>
      <c r="F127" s="3" t="s">
        <v>5552</v>
      </c>
      <c r="G127" s="7" t="s">
        <v>5560</v>
      </c>
      <c r="H127" s="3" t="s">
        <v>3853</v>
      </c>
      <c r="I127" s="3" t="s">
        <v>3854</v>
      </c>
      <c r="J127" s="3" t="s">
        <v>5536</v>
      </c>
      <c r="K127" s="3" t="s">
        <v>3968</v>
      </c>
      <c r="L127" s="8" t="str">
        <f>HYPERLINK("http://slimages.macys.com/is/image/MCY/15950164 ")</f>
        <v xml:space="preserve">http://slimages.macys.com/is/image/MCY/15950164 </v>
      </c>
    </row>
    <row r="128" spans="1:12" ht="24.75" x14ac:dyDescent="0.25">
      <c r="A128" s="6" t="s">
        <v>3969</v>
      </c>
      <c r="B128" s="3" t="s">
        <v>3970</v>
      </c>
      <c r="C128" s="4">
        <v>1</v>
      </c>
      <c r="D128" s="5">
        <v>29.95</v>
      </c>
      <c r="E128" s="4" t="s">
        <v>3971</v>
      </c>
      <c r="F128" s="3" t="s">
        <v>5820</v>
      </c>
      <c r="G128" s="7" t="s">
        <v>5598</v>
      </c>
      <c r="H128" s="3" t="s">
        <v>7171</v>
      </c>
      <c r="I128" s="3" t="s">
        <v>3972</v>
      </c>
      <c r="J128" s="3" t="s">
        <v>5536</v>
      </c>
      <c r="K128" s="3" t="s">
        <v>5574</v>
      </c>
      <c r="L128" s="8" t="str">
        <f>HYPERLINK("http://slimages.macys.com/is/image/MCY/14426195 ")</f>
        <v xml:space="preserve">http://slimages.macys.com/is/image/MCY/14426195 </v>
      </c>
    </row>
    <row r="129" spans="1:12" ht="24.75" x14ac:dyDescent="0.25">
      <c r="A129" s="6" t="s">
        <v>3973</v>
      </c>
      <c r="B129" s="3" t="s">
        <v>3974</v>
      </c>
      <c r="C129" s="4">
        <v>2</v>
      </c>
      <c r="D129" s="5">
        <v>68</v>
      </c>
      <c r="E129" s="4" t="s">
        <v>3975</v>
      </c>
      <c r="F129" s="3" t="s">
        <v>5661</v>
      </c>
      <c r="G129" s="7" t="s">
        <v>5766</v>
      </c>
      <c r="H129" s="3" t="s">
        <v>5825</v>
      </c>
      <c r="I129" s="3" t="s">
        <v>3976</v>
      </c>
      <c r="J129" s="3" t="s">
        <v>5536</v>
      </c>
      <c r="K129" s="3" t="s">
        <v>3977</v>
      </c>
      <c r="L129" s="8" t="str">
        <f>HYPERLINK("http://slimages.macys.com/is/image/MCY/2925238 ")</f>
        <v xml:space="preserve">http://slimages.macys.com/is/image/MCY/2925238 </v>
      </c>
    </row>
    <row r="130" spans="1:12" ht="24.75" x14ac:dyDescent="0.25">
      <c r="A130" s="6" t="s">
        <v>3978</v>
      </c>
      <c r="B130" s="3" t="s">
        <v>3979</v>
      </c>
      <c r="C130" s="4">
        <v>1</v>
      </c>
      <c r="D130" s="5">
        <v>34</v>
      </c>
      <c r="E130" s="4" t="s">
        <v>3980</v>
      </c>
      <c r="F130" s="3" t="s">
        <v>5532</v>
      </c>
      <c r="G130" s="7" t="s">
        <v>5824</v>
      </c>
      <c r="H130" s="3" t="s">
        <v>5825</v>
      </c>
      <c r="I130" s="3" t="s">
        <v>3976</v>
      </c>
      <c r="J130" s="3" t="s">
        <v>3981</v>
      </c>
      <c r="K130" s="3" t="s">
        <v>3982</v>
      </c>
      <c r="L130" s="8" t="str">
        <f t="shared" ref="L130:L135" si="1">HYPERLINK("http://slimages.macys.com/is/image/MCY/11633546 ")</f>
        <v xml:space="preserve">http://slimages.macys.com/is/image/MCY/11633546 </v>
      </c>
    </row>
    <row r="131" spans="1:12" ht="24.75" x14ac:dyDescent="0.25">
      <c r="A131" s="6" t="s">
        <v>3983</v>
      </c>
      <c r="B131" s="3" t="s">
        <v>3979</v>
      </c>
      <c r="C131" s="4">
        <v>1</v>
      </c>
      <c r="D131" s="5">
        <v>34</v>
      </c>
      <c r="E131" s="4" t="s">
        <v>3980</v>
      </c>
      <c r="F131" s="3" t="s">
        <v>5532</v>
      </c>
      <c r="G131" s="7" t="s">
        <v>5830</v>
      </c>
      <c r="H131" s="3" t="s">
        <v>5825</v>
      </c>
      <c r="I131" s="3" t="s">
        <v>3976</v>
      </c>
      <c r="J131" s="3" t="s">
        <v>3981</v>
      </c>
      <c r="K131" s="3" t="s">
        <v>3982</v>
      </c>
      <c r="L131" s="8" t="str">
        <f t="shared" si="1"/>
        <v xml:space="preserve">http://slimages.macys.com/is/image/MCY/11633546 </v>
      </c>
    </row>
    <row r="132" spans="1:12" ht="24.75" x14ac:dyDescent="0.25">
      <c r="A132" s="6" t="s">
        <v>3984</v>
      </c>
      <c r="B132" s="3" t="s">
        <v>3979</v>
      </c>
      <c r="C132" s="4">
        <v>1</v>
      </c>
      <c r="D132" s="5">
        <v>34</v>
      </c>
      <c r="E132" s="4" t="s">
        <v>3980</v>
      </c>
      <c r="F132" s="3" t="s">
        <v>5532</v>
      </c>
      <c r="G132" s="7" t="s">
        <v>5764</v>
      </c>
      <c r="H132" s="3" t="s">
        <v>5825</v>
      </c>
      <c r="I132" s="3" t="s">
        <v>3976</v>
      </c>
      <c r="J132" s="3" t="s">
        <v>3981</v>
      </c>
      <c r="K132" s="3" t="s">
        <v>3982</v>
      </c>
      <c r="L132" s="8" t="str">
        <f t="shared" si="1"/>
        <v xml:space="preserve">http://slimages.macys.com/is/image/MCY/11633546 </v>
      </c>
    </row>
    <row r="133" spans="1:12" ht="24.75" x14ac:dyDescent="0.25">
      <c r="A133" s="6" t="s">
        <v>3985</v>
      </c>
      <c r="B133" s="3" t="s">
        <v>3979</v>
      </c>
      <c r="C133" s="4">
        <v>1</v>
      </c>
      <c r="D133" s="5">
        <v>34</v>
      </c>
      <c r="E133" s="4" t="s">
        <v>3980</v>
      </c>
      <c r="F133" s="3" t="s">
        <v>5532</v>
      </c>
      <c r="G133" s="7" t="s">
        <v>5760</v>
      </c>
      <c r="H133" s="3" t="s">
        <v>5825</v>
      </c>
      <c r="I133" s="3" t="s">
        <v>3976</v>
      </c>
      <c r="J133" s="3" t="s">
        <v>3981</v>
      </c>
      <c r="K133" s="3" t="s">
        <v>3982</v>
      </c>
      <c r="L133" s="8" t="str">
        <f t="shared" si="1"/>
        <v xml:space="preserve">http://slimages.macys.com/is/image/MCY/11633546 </v>
      </c>
    </row>
    <row r="134" spans="1:12" ht="24.75" x14ac:dyDescent="0.25">
      <c r="A134" s="6" t="s">
        <v>3986</v>
      </c>
      <c r="B134" s="3" t="s">
        <v>3979</v>
      </c>
      <c r="C134" s="4">
        <v>1</v>
      </c>
      <c r="D134" s="5">
        <v>34</v>
      </c>
      <c r="E134" s="4" t="s">
        <v>3980</v>
      </c>
      <c r="F134" s="3" t="s">
        <v>5532</v>
      </c>
      <c r="G134" s="7" t="s">
        <v>5762</v>
      </c>
      <c r="H134" s="3" t="s">
        <v>5825</v>
      </c>
      <c r="I134" s="3" t="s">
        <v>3976</v>
      </c>
      <c r="J134" s="3" t="s">
        <v>3981</v>
      </c>
      <c r="K134" s="3" t="s">
        <v>3982</v>
      </c>
      <c r="L134" s="8" t="str">
        <f t="shared" si="1"/>
        <v xml:space="preserve">http://slimages.macys.com/is/image/MCY/11633546 </v>
      </c>
    </row>
    <row r="135" spans="1:12" ht="24.75" x14ac:dyDescent="0.25">
      <c r="A135" s="6" t="s">
        <v>3987</v>
      </c>
      <c r="B135" s="3" t="s">
        <v>3979</v>
      </c>
      <c r="C135" s="4">
        <v>1</v>
      </c>
      <c r="D135" s="5">
        <v>34</v>
      </c>
      <c r="E135" s="4" t="s">
        <v>3980</v>
      </c>
      <c r="F135" s="3" t="s">
        <v>5532</v>
      </c>
      <c r="G135" s="7"/>
      <c r="H135" s="3" t="s">
        <v>5825</v>
      </c>
      <c r="I135" s="3" t="s">
        <v>3976</v>
      </c>
      <c r="J135" s="3" t="s">
        <v>3981</v>
      </c>
      <c r="K135" s="3" t="s">
        <v>3982</v>
      </c>
      <c r="L135" s="8" t="str">
        <f t="shared" si="1"/>
        <v xml:space="preserve">http://slimages.macys.com/is/image/MCY/11633546 </v>
      </c>
    </row>
    <row r="136" spans="1:12" ht="24.75" x14ac:dyDescent="0.25">
      <c r="A136" s="6" t="s">
        <v>3988</v>
      </c>
      <c r="B136" s="3" t="s">
        <v>3989</v>
      </c>
      <c r="C136" s="4">
        <v>2</v>
      </c>
      <c r="D136" s="5">
        <v>100</v>
      </c>
      <c r="E136" s="4" t="s">
        <v>3990</v>
      </c>
      <c r="F136" s="3" t="s">
        <v>5540</v>
      </c>
      <c r="G136" s="7"/>
      <c r="H136" s="3" t="s">
        <v>6019</v>
      </c>
      <c r="I136" s="3" t="s">
        <v>3918</v>
      </c>
      <c r="J136" s="3" t="s">
        <v>5536</v>
      </c>
      <c r="K136" s="3" t="s">
        <v>5594</v>
      </c>
      <c r="L136" s="8" t="str">
        <f t="shared" ref="L136:L147" si="2">HYPERLINK("http://slimages.macys.com/is/image/MCY/16191092 ")</f>
        <v xml:space="preserve">http://slimages.macys.com/is/image/MCY/16191092 </v>
      </c>
    </row>
    <row r="137" spans="1:12" ht="24.75" x14ac:dyDescent="0.25">
      <c r="A137" s="6" t="s">
        <v>3991</v>
      </c>
      <c r="B137" s="3" t="s">
        <v>3989</v>
      </c>
      <c r="C137" s="4">
        <v>1</v>
      </c>
      <c r="D137" s="5">
        <v>50</v>
      </c>
      <c r="E137" s="4" t="s">
        <v>3990</v>
      </c>
      <c r="F137" s="3" t="s">
        <v>5540</v>
      </c>
      <c r="G137" s="7" t="s">
        <v>5694</v>
      </c>
      <c r="H137" s="3" t="s">
        <v>6019</v>
      </c>
      <c r="I137" s="3" t="s">
        <v>3918</v>
      </c>
      <c r="J137" s="3" t="s">
        <v>5536</v>
      </c>
      <c r="K137" s="3" t="s">
        <v>5594</v>
      </c>
      <c r="L137" s="8" t="str">
        <f t="shared" si="2"/>
        <v xml:space="preserve">http://slimages.macys.com/is/image/MCY/16191092 </v>
      </c>
    </row>
    <row r="138" spans="1:12" ht="24.75" x14ac:dyDescent="0.25">
      <c r="A138" s="6" t="s">
        <v>3992</v>
      </c>
      <c r="B138" s="3" t="s">
        <v>3989</v>
      </c>
      <c r="C138" s="4">
        <v>1</v>
      </c>
      <c r="D138" s="5">
        <v>50</v>
      </c>
      <c r="E138" s="4" t="s">
        <v>3990</v>
      </c>
      <c r="F138" s="3" t="s">
        <v>5540</v>
      </c>
      <c r="G138" s="7" t="s">
        <v>5648</v>
      </c>
      <c r="H138" s="3" t="s">
        <v>6019</v>
      </c>
      <c r="I138" s="3" t="s">
        <v>3918</v>
      </c>
      <c r="J138" s="3" t="s">
        <v>5536</v>
      </c>
      <c r="K138" s="3" t="s">
        <v>5594</v>
      </c>
      <c r="L138" s="8" t="str">
        <f t="shared" si="2"/>
        <v xml:space="preserve">http://slimages.macys.com/is/image/MCY/16191092 </v>
      </c>
    </row>
    <row r="139" spans="1:12" ht="24.75" x14ac:dyDescent="0.25">
      <c r="A139" s="6" t="s">
        <v>3993</v>
      </c>
      <c r="B139" s="3" t="s">
        <v>3989</v>
      </c>
      <c r="C139" s="4">
        <v>1</v>
      </c>
      <c r="D139" s="5">
        <v>50</v>
      </c>
      <c r="E139" s="4" t="s">
        <v>3990</v>
      </c>
      <c r="F139" s="3" t="s">
        <v>5540</v>
      </c>
      <c r="G139" s="7" t="s">
        <v>5672</v>
      </c>
      <c r="H139" s="3" t="s">
        <v>6019</v>
      </c>
      <c r="I139" s="3" t="s">
        <v>3918</v>
      </c>
      <c r="J139" s="3" t="s">
        <v>5536</v>
      </c>
      <c r="K139" s="3" t="s">
        <v>5594</v>
      </c>
      <c r="L139" s="8" t="str">
        <f t="shared" si="2"/>
        <v xml:space="preserve">http://slimages.macys.com/is/image/MCY/16191092 </v>
      </c>
    </row>
    <row r="140" spans="1:12" ht="24.75" x14ac:dyDescent="0.25">
      <c r="A140" s="6" t="s">
        <v>3994</v>
      </c>
      <c r="B140" s="3" t="s">
        <v>3989</v>
      </c>
      <c r="C140" s="4">
        <v>2</v>
      </c>
      <c r="D140" s="5">
        <v>100</v>
      </c>
      <c r="E140" s="4" t="s">
        <v>3990</v>
      </c>
      <c r="F140" s="3" t="s">
        <v>5540</v>
      </c>
      <c r="G140" s="7" t="s">
        <v>5656</v>
      </c>
      <c r="H140" s="3" t="s">
        <v>6019</v>
      </c>
      <c r="I140" s="3" t="s">
        <v>3918</v>
      </c>
      <c r="J140" s="3" t="s">
        <v>5536</v>
      </c>
      <c r="K140" s="3" t="s">
        <v>5594</v>
      </c>
      <c r="L140" s="8" t="str">
        <f t="shared" si="2"/>
        <v xml:space="preserve">http://slimages.macys.com/is/image/MCY/16191092 </v>
      </c>
    </row>
    <row r="141" spans="1:12" ht="24.75" x14ac:dyDescent="0.25">
      <c r="A141" s="6" t="s">
        <v>3995</v>
      </c>
      <c r="B141" s="3" t="s">
        <v>3989</v>
      </c>
      <c r="C141" s="4">
        <v>2</v>
      </c>
      <c r="D141" s="5">
        <v>100</v>
      </c>
      <c r="E141" s="4" t="s">
        <v>3990</v>
      </c>
      <c r="F141" s="3" t="s">
        <v>5540</v>
      </c>
      <c r="G141" s="7" t="s">
        <v>5579</v>
      </c>
      <c r="H141" s="3" t="s">
        <v>6019</v>
      </c>
      <c r="I141" s="3" t="s">
        <v>3918</v>
      </c>
      <c r="J141" s="3" t="s">
        <v>5536</v>
      </c>
      <c r="K141" s="3" t="s">
        <v>5594</v>
      </c>
      <c r="L141" s="8" t="str">
        <f t="shared" si="2"/>
        <v xml:space="preserve">http://slimages.macys.com/is/image/MCY/16191092 </v>
      </c>
    </row>
    <row r="142" spans="1:12" ht="24.75" x14ac:dyDescent="0.25">
      <c r="A142" s="6" t="s">
        <v>3996</v>
      </c>
      <c r="B142" s="3" t="s">
        <v>3989</v>
      </c>
      <c r="C142" s="4">
        <v>1</v>
      </c>
      <c r="D142" s="5">
        <v>50</v>
      </c>
      <c r="E142" s="4" t="s">
        <v>3990</v>
      </c>
      <c r="F142" s="3" t="s">
        <v>5540</v>
      </c>
      <c r="G142" s="7" t="s">
        <v>5605</v>
      </c>
      <c r="H142" s="3" t="s">
        <v>6019</v>
      </c>
      <c r="I142" s="3" t="s">
        <v>3918</v>
      </c>
      <c r="J142" s="3" t="s">
        <v>5536</v>
      </c>
      <c r="K142" s="3" t="s">
        <v>5594</v>
      </c>
      <c r="L142" s="8" t="str">
        <f t="shared" si="2"/>
        <v xml:space="preserve">http://slimages.macys.com/is/image/MCY/16191092 </v>
      </c>
    </row>
    <row r="143" spans="1:12" ht="24.75" x14ac:dyDescent="0.25">
      <c r="A143" s="6" t="s">
        <v>3997</v>
      </c>
      <c r="B143" s="3" t="s">
        <v>3989</v>
      </c>
      <c r="C143" s="4">
        <v>2</v>
      </c>
      <c r="D143" s="5">
        <v>100</v>
      </c>
      <c r="E143" s="4" t="s">
        <v>3990</v>
      </c>
      <c r="F143" s="3" t="s">
        <v>5540</v>
      </c>
      <c r="G143" s="7" t="s">
        <v>5557</v>
      </c>
      <c r="H143" s="3" t="s">
        <v>6019</v>
      </c>
      <c r="I143" s="3" t="s">
        <v>3918</v>
      </c>
      <c r="J143" s="3" t="s">
        <v>5536</v>
      </c>
      <c r="K143" s="3" t="s">
        <v>5594</v>
      </c>
      <c r="L143" s="8" t="str">
        <f t="shared" si="2"/>
        <v xml:space="preserve">http://slimages.macys.com/is/image/MCY/16191092 </v>
      </c>
    </row>
    <row r="144" spans="1:12" ht="24.75" x14ac:dyDescent="0.25">
      <c r="A144" s="6" t="s">
        <v>3998</v>
      </c>
      <c r="B144" s="3" t="s">
        <v>3989</v>
      </c>
      <c r="C144" s="4">
        <v>2</v>
      </c>
      <c r="D144" s="5">
        <v>100</v>
      </c>
      <c r="E144" s="4" t="s">
        <v>3990</v>
      </c>
      <c r="F144" s="3" t="s">
        <v>5540</v>
      </c>
      <c r="G144" s="7" t="s">
        <v>5567</v>
      </c>
      <c r="H144" s="3" t="s">
        <v>6019</v>
      </c>
      <c r="I144" s="3" t="s">
        <v>3918</v>
      </c>
      <c r="J144" s="3" t="s">
        <v>5536</v>
      </c>
      <c r="K144" s="3" t="s">
        <v>5594</v>
      </c>
      <c r="L144" s="8" t="str">
        <f t="shared" si="2"/>
        <v xml:space="preserve">http://slimages.macys.com/is/image/MCY/16191092 </v>
      </c>
    </row>
    <row r="145" spans="1:12" ht="24.75" x14ac:dyDescent="0.25">
      <c r="A145" s="6" t="s">
        <v>3999</v>
      </c>
      <c r="B145" s="3" t="s">
        <v>3989</v>
      </c>
      <c r="C145" s="4">
        <v>1</v>
      </c>
      <c r="D145" s="5">
        <v>50</v>
      </c>
      <c r="E145" s="4" t="s">
        <v>3990</v>
      </c>
      <c r="F145" s="3" t="s">
        <v>5540</v>
      </c>
      <c r="G145" s="7" t="s">
        <v>5650</v>
      </c>
      <c r="H145" s="3" t="s">
        <v>6019</v>
      </c>
      <c r="I145" s="3" t="s">
        <v>3918</v>
      </c>
      <c r="J145" s="3" t="s">
        <v>5536</v>
      </c>
      <c r="K145" s="3" t="s">
        <v>5594</v>
      </c>
      <c r="L145" s="8" t="str">
        <f t="shared" si="2"/>
        <v xml:space="preserve">http://slimages.macys.com/is/image/MCY/16191092 </v>
      </c>
    </row>
    <row r="146" spans="1:12" ht="24.75" x14ac:dyDescent="0.25">
      <c r="A146" s="6" t="s">
        <v>4000</v>
      </c>
      <c r="B146" s="3" t="s">
        <v>3989</v>
      </c>
      <c r="C146" s="4">
        <v>2</v>
      </c>
      <c r="D146" s="5">
        <v>100</v>
      </c>
      <c r="E146" s="4" t="s">
        <v>3990</v>
      </c>
      <c r="F146" s="3" t="s">
        <v>5540</v>
      </c>
      <c r="G146" s="7" t="s">
        <v>5626</v>
      </c>
      <c r="H146" s="3" t="s">
        <v>6019</v>
      </c>
      <c r="I146" s="3" t="s">
        <v>3918</v>
      </c>
      <c r="J146" s="3" t="s">
        <v>5536</v>
      </c>
      <c r="K146" s="3" t="s">
        <v>5594</v>
      </c>
      <c r="L146" s="8" t="str">
        <f t="shared" si="2"/>
        <v xml:space="preserve">http://slimages.macys.com/is/image/MCY/16191092 </v>
      </c>
    </row>
    <row r="147" spans="1:12" ht="24.75" x14ac:dyDescent="0.25">
      <c r="A147" s="6" t="s">
        <v>4001</v>
      </c>
      <c r="B147" s="3" t="s">
        <v>3989</v>
      </c>
      <c r="C147" s="4">
        <v>1</v>
      </c>
      <c r="D147" s="5">
        <v>50</v>
      </c>
      <c r="E147" s="4" t="s">
        <v>3990</v>
      </c>
      <c r="F147" s="3" t="s">
        <v>5540</v>
      </c>
      <c r="G147" s="7" t="s">
        <v>5682</v>
      </c>
      <c r="H147" s="3" t="s">
        <v>6019</v>
      </c>
      <c r="I147" s="3" t="s">
        <v>3918</v>
      </c>
      <c r="J147" s="3" t="s">
        <v>5536</v>
      </c>
      <c r="K147" s="3" t="s">
        <v>5594</v>
      </c>
      <c r="L147" s="8" t="str">
        <f t="shared" si="2"/>
        <v xml:space="preserve">http://slimages.macys.com/is/image/MCY/16191092 </v>
      </c>
    </row>
    <row r="148" spans="1:12" ht="24.75" x14ac:dyDescent="0.25">
      <c r="A148" s="6" t="s">
        <v>4002</v>
      </c>
      <c r="B148" s="3" t="s">
        <v>4003</v>
      </c>
      <c r="C148" s="4">
        <v>1</v>
      </c>
      <c r="D148" s="5">
        <v>32.99</v>
      </c>
      <c r="E148" s="4" t="s">
        <v>4004</v>
      </c>
      <c r="F148" s="3" t="s">
        <v>5540</v>
      </c>
      <c r="G148" s="7" t="s">
        <v>6862</v>
      </c>
      <c r="H148" s="3" t="s">
        <v>5892</v>
      </c>
      <c r="I148" s="3" t="s">
        <v>5893</v>
      </c>
      <c r="J148" s="3" t="s">
        <v>5536</v>
      </c>
      <c r="K148" s="3" t="s">
        <v>5984</v>
      </c>
      <c r="L148" s="8" t="str">
        <f>HYPERLINK("http://slimages.macys.com/is/image/MCY/15239473 ")</f>
        <v xml:space="preserve">http://slimages.macys.com/is/image/MCY/15239473 </v>
      </c>
    </row>
    <row r="149" spans="1:12" ht="24.75" x14ac:dyDescent="0.25">
      <c r="A149" s="6" t="s">
        <v>4005</v>
      </c>
      <c r="B149" s="3" t="s">
        <v>4006</v>
      </c>
      <c r="C149" s="4">
        <v>1</v>
      </c>
      <c r="D149" s="5">
        <v>42.99</v>
      </c>
      <c r="E149" s="4" t="s">
        <v>4007</v>
      </c>
      <c r="F149" s="3" t="s">
        <v>5578</v>
      </c>
      <c r="G149" s="7" t="s">
        <v>5598</v>
      </c>
      <c r="H149" s="3" t="s">
        <v>6003</v>
      </c>
      <c r="I149" s="3" t="s">
        <v>6004</v>
      </c>
      <c r="J149" s="3" t="s">
        <v>5536</v>
      </c>
      <c r="K149" s="3" t="s">
        <v>4008</v>
      </c>
      <c r="L149" s="8" t="str">
        <f>HYPERLINK("http://slimages.macys.com/is/image/MCY/14501706 ")</f>
        <v xml:space="preserve">http://slimages.macys.com/is/image/MCY/14501706 </v>
      </c>
    </row>
    <row r="150" spans="1:12" ht="24.75" x14ac:dyDescent="0.25">
      <c r="A150" s="6" t="s">
        <v>4009</v>
      </c>
      <c r="B150" s="3" t="s">
        <v>4010</v>
      </c>
      <c r="C150" s="4">
        <v>1</v>
      </c>
      <c r="D150" s="5">
        <v>41.5</v>
      </c>
      <c r="E150" s="4" t="s">
        <v>4011</v>
      </c>
      <c r="F150" s="3" t="s">
        <v>5540</v>
      </c>
      <c r="G150" s="7" t="s">
        <v>5560</v>
      </c>
      <c r="H150" s="3" t="s">
        <v>6627</v>
      </c>
      <c r="I150" s="3" t="s">
        <v>4012</v>
      </c>
      <c r="J150" s="3" t="s">
        <v>5536</v>
      </c>
      <c r="K150" s="3" t="s">
        <v>6133</v>
      </c>
      <c r="L150" s="8" t="str">
        <f>HYPERLINK("http://slimages.macys.com/is/image/MCY/10503384 ")</f>
        <v xml:space="preserve">http://slimages.macys.com/is/image/MCY/10503384 </v>
      </c>
    </row>
    <row r="151" spans="1:12" x14ac:dyDescent="0.25">
      <c r="A151" s="6" t="s">
        <v>4013</v>
      </c>
      <c r="B151" s="3" t="s">
        <v>4014</v>
      </c>
      <c r="C151" s="4">
        <v>1</v>
      </c>
      <c r="D151" s="5">
        <v>54.99</v>
      </c>
      <c r="E151" s="4" t="s">
        <v>4015</v>
      </c>
      <c r="F151" s="3" t="s">
        <v>5540</v>
      </c>
      <c r="G151" s="7" t="s">
        <v>5557</v>
      </c>
      <c r="H151" s="3" t="s">
        <v>5978</v>
      </c>
      <c r="I151" s="3" t="s">
        <v>5979</v>
      </c>
      <c r="J151" s="3" t="s">
        <v>5536</v>
      </c>
      <c r="K151" s="3" t="s">
        <v>6021</v>
      </c>
      <c r="L151" s="8" t="str">
        <f>HYPERLINK("http://slimages.macys.com/is/image/MCY/13314000 ")</f>
        <v xml:space="preserve">http://slimages.macys.com/is/image/MCY/13314000 </v>
      </c>
    </row>
    <row r="152" spans="1:12" x14ac:dyDescent="0.25">
      <c r="A152" s="6" t="s">
        <v>4016</v>
      </c>
      <c r="B152" s="3" t="s">
        <v>4017</v>
      </c>
      <c r="C152" s="4">
        <v>1</v>
      </c>
      <c r="D152" s="5">
        <v>39.99</v>
      </c>
      <c r="E152" s="4" t="s">
        <v>4018</v>
      </c>
      <c r="F152" s="3" t="s">
        <v>6335</v>
      </c>
      <c r="G152" s="7" t="s">
        <v>5560</v>
      </c>
      <c r="H152" s="3" t="s">
        <v>6003</v>
      </c>
      <c r="I152" s="3" t="s">
        <v>6004</v>
      </c>
      <c r="J152" s="3" t="s">
        <v>5536</v>
      </c>
      <c r="K152" s="3" t="s">
        <v>5574</v>
      </c>
      <c r="L152" s="8" t="str">
        <f>HYPERLINK("http://slimages.macys.com/is/image/MCY/16358251 ")</f>
        <v xml:space="preserve">http://slimages.macys.com/is/image/MCY/16358251 </v>
      </c>
    </row>
    <row r="153" spans="1:12" x14ac:dyDescent="0.25">
      <c r="A153" s="6" t="s">
        <v>4019</v>
      </c>
      <c r="B153" s="3" t="s">
        <v>4017</v>
      </c>
      <c r="C153" s="4">
        <v>3</v>
      </c>
      <c r="D153" s="5">
        <v>119.97</v>
      </c>
      <c r="E153" s="4" t="s">
        <v>4018</v>
      </c>
      <c r="F153" s="3" t="s">
        <v>6335</v>
      </c>
      <c r="G153" s="7" t="s">
        <v>5596</v>
      </c>
      <c r="H153" s="3" t="s">
        <v>6003</v>
      </c>
      <c r="I153" s="3" t="s">
        <v>6004</v>
      </c>
      <c r="J153" s="3" t="s">
        <v>5536</v>
      </c>
      <c r="K153" s="3" t="s">
        <v>5574</v>
      </c>
      <c r="L153" s="8" t="str">
        <f>HYPERLINK("http://slimages.macys.com/is/image/MCY/16358251 ")</f>
        <v xml:space="preserve">http://slimages.macys.com/is/image/MCY/16358251 </v>
      </c>
    </row>
    <row r="154" spans="1:12" x14ac:dyDescent="0.25">
      <c r="A154" s="6" t="s">
        <v>4020</v>
      </c>
      <c r="B154" s="3" t="s">
        <v>4017</v>
      </c>
      <c r="C154" s="4">
        <v>2</v>
      </c>
      <c r="D154" s="5">
        <v>79.98</v>
      </c>
      <c r="E154" s="4" t="s">
        <v>4018</v>
      </c>
      <c r="F154" s="3" t="s">
        <v>6335</v>
      </c>
      <c r="G154" s="7" t="s">
        <v>5562</v>
      </c>
      <c r="H154" s="3" t="s">
        <v>6003</v>
      </c>
      <c r="I154" s="3" t="s">
        <v>6004</v>
      </c>
      <c r="J154" s="3" t="s">
        <v>5536</v>
      </c>
      <c r="K154" s="3" t="s">
        <v>5574</v>
      </c>
      <c r="L154" s="8" t="str">
        <f>HYPERLINK("http://slimages.macys.com/is/image/MCY/16358251 ")</f>
        <v xml:space="preserve">http://slimages.macys.com/is/image/MCY/16358251 </v>
      </c>
    </row>
    <row r="155" spans="1:12" x14ac:dyDescent="0.25">
      <c r="A155" s="6" t="s">
        <v>4021</v>
      </c>
      <c r="B155" s="3" t="s">
        <v>4017</v>
      </c>
      <c r="C155" s="4">
        <v>2</v>
      </c>
      <c r="D155" s="5">
        <v>79.98</v>
      </c>
      <c r="E155" s="4" t="s">
        <v>4018</v>
      </c>
      <c r="F155" s="3" t="s">
        <v>6335</v>
      </c>
      <c r="G155" s="7" t="s">
        <v>5598</v>
      </c>
      <c r="H155" s="3" t="s">
        <v>6003</v>
      </c>
      <c r="I155" s="3" t="s">
        <v>6004</v>
      </c>
      <c r="J155" s="3" t="s">
        <v>5536</v>
      </c>
      <c r="K155" s="3" t="s">
        <v>5574</v>
      </c>
      <c r="L155" s="8" t="str">
        <f>HYPERLINK("http://slimages.macys.com/is/image/MCY/16358251 ")</f>
        <v xml:space="preserve">http://slimages.macys.com/is/image/MCY/16358251 </v>
      </c>
    </row>
    <row r="156" spans="1:12" x14ac:dyDescent="0.25">
      <c r="A156" s="6" t="s">
        <v>4022</v>
      </c>
      <c r="B156" s="3" t="s">
        <v>4017</v>
      </c>
      <c r="C156" s="4">
        <v>1</v>
      </c>
      <c r="D156" s="5">
        <v>39.99</v>
      </c>
      <c r="E156" s="4" t="s">
        <v>4018</v>
      </c>
      <c r="F156" s="3" t="s">
        <v>6335</v>
      </c>
      <c r="G156" s="7" t="s">
        <v>5533</v>
      </c>
      <c r="H156" s="3" t="s">
        <v>6003</v>
      </c>
      <c r="I156" s="3" t="s">
        <v>6004</v>
      </c>
      <c r="J156" s="3" t="s">
        <v>5536</v>
      </c>
      <c r="K156" s="3" t="s">
        <v>5574</v>
      </c>
      <c r="L156" s="8" t="str">
        <f>HYPERLINK("http://slimages.macys.com/is/image/MCY/16358251 ")</f>
        <v xml:space="preserve">http://slimages.macys.com/is/image/MCY/16358251 </v>
      </c>
    </row>
    <row r="157" spans="1:12" x14ac:dyDescent="0.25">
      <c r="A157" s="6" t="s">
        <v>4023</v>
      </c>
      <c r="B157" s="3" t="s">
        <v>4024</v>
      </c>
      <c r="C157" s="4">
        <v>1</v>
      </c>
      <c r="D157" s="5">
        <v>39.99</v>
      </c>
      <c r="E157" s="4" t="s">
        <v>4025</v>
      </c>
      <c r="F157" s="3" t="s">
        <v>5540</v>
      </c>
      <c r="G157" s="7" t="s">
        <v>5562</v>
      </c>
      <c r="H157" s="3" t="s">
        <v>6065</v>
      </c>
      <c r="I157" s="3" t="s">
        <v>6066</v>
      </c>
      <c r="J157" s="3" t="s">
        <v>5536</v>
      </c>
      <c r="K157" s="3" t="s">
        <v>5587</v>
      </c>
      <c r="L157" s="8" t="str">
        <f>HYPERLINK("http://slimages.macys.com/is/image/MCY/15160475 ")</f>
        <v xml:space="preserve">http://slimages.macys.com/is/image/MCY/15160475 </v>
      </c>
    </row>
    <row r="158" spans="1:12" ht="24.75" x14ac:dyDescent="0.25">
      <c r="A158" s="6" t="s">
        <v>4026</v>
      </c>
      <c r="B158" s="3" t="s">
        <v>4027</v>
      </c>
      <c r="C158" s="4">
        <v>1</v>
      </c>
      <c r="D158" s="5">
        <v>33.6</v>
      </c>
      <c r="E158" s="4">
        <v>75699</v>
      </c>
      <c r="F158" s="3" t="s">
        <v>5540</v>
      </c>
      <c r="G158" s="7" t="s">
        <v>5799</v>
      </c>
      <c r="H158" s="3" t="s">
        <v>6131</v>
      </c>
      <c r="I158" s="3" t="s">
        <v>4028</v>
      </c>
      <c r="J158" s="3" t="s">
        <v>5536</v>
      </c>
      <c r="K158" s="3" t="s">
        <v>6133</v>
      </c>
      <c r="L158" s="8" t="str">
        <f>HYPERLINK("http://slimages.macys.com/is/image/MCY/15431826 ")</f>
        <v xml:space="preserve">http://slimages.macys.com/is/image/MCY/15431826 </v>
      </c>
    </row>
    <row r="159" spans="1:12" ht="24.75" x14ac:dyDescent="0.25">
      <c r="A159" s="6" t="s">
        <v>4029</v>
      </c>
      <c r="B159" s="3" t="s">
        <v>6135</v>
      </c>
      <c r="C159" s="4">
        <v>1</v>
      </c>
      <c r="D159" s="5">
        <v>40</v>
      </c>
      <c r="E159" s="4" t="s">
        <v>6136</v>
      </c>
      <c r="F159" s="3" t="s">
        <v>5532</v>
      </c>
      <c r="G159" s="7" t="s">
        <v>5598</v>
      </c>
      <c r="H159" s="3" t="s">
        <v>6019</v>
      </c>
      <c r="I159" s="3" t="s">
        <v>6020</v>
      </c>
      <c r="J159" s="3"/>
      <c r="K159" s="3" t="s">
        <v>5549</v>
      </c>
      <c r="L159" s="8" t="str">
        <f>HYPERLINK("http://slimages.macys.com/is/image/MCY/15630012 ")</f>
        <v xml:space="preserve">http://slimages.macys.com/is/image/MCY/15630012 </v>
      </c>
    </row>
    <row r="160" spans="1:12" x14ac:dyDescent="0.25">
      <c r="A160" s="6" t="s">
        <v>4030</v>
      </c>
      <c r="B160" s="3" t="s">
        <v>4031</v>
      </c>
      <c r="C160" s="4">
        <v>1</v>
      </c>
      <c r="D160" s="5">
        <v>49.5</v>
      </c>
      <c r="E160" s="4">
        <v>100033772</v>
      </c>
      <c r="F160" s="3" t="s">
        <v>5745</v>
      </c>
      <c r="G160" s="7" t="s">
        <v>5598</v>
      </c>
      <c r="H160" s="3" t="s">
        <v>5585</v>
      </c>
      <c r="I160" s="3" t="s">
        <v>5734</v>
      </c>
      <c r="J160" s="3" t="s">
        <v>5536</v>
      </c>
      <c r="K160" s="3" t="s">
        <v>5594</v>
      </c>
      <c r="L160" s="8" t="str">
        <f>HYPERLINK("http://slimages.macys.com/is/image/MCY/13847727 ")</f>
        <v xml:space="preserve">http://slimages.macys.com/is/image/MCY/13847727 </v>
      </c>
    </row>
    <row r="161" spans="1:12" x14ac:dyDescent="0.25">
      <c r="A161" s="6" t="s">
        <v>4032</v>
      </c>
      <c r="B161" s="3" t="s">
        <v>4033</v>
      </c>
      <c r="C161" s="4">
        <v>2</v>
      </c>
      <c r="D161" s="5">
        <v>99.98</v>
      </c>
      <c r="E161" s="4" t="s">
        <v>4034</v>
      </c>
      <c r="F161" s="3" t="s">
        <v>5625</v>
      </c>
      <c r="G161" s="7" t="s">
        <v>5562</v>
      </c>
      <c r="H161" s="3" t="s">
        <v>5978</v>
      </c>
      <c r="I161" s="3" t="s">
        <v>5979</v>
      </c>
      <c r="J161" s="3" t="s">
        <v>5536</v>
      </c>
      <c r="K161" s="3" t="s">
        <v>4035</v>
      </c>
      <c r="L161" s="8" t="str">
        <f>HYPERLINK("http://slimages.macys.com/is/image/MCY/15250451 ")</f>
        <v xml:space="preserve">http://slimages.macys.com/is/image/MCY/15250451 </v>
      </c>
    </row>
    <row r="162" spans="1:12" x14ac:dyDescent="0.25">
      <c r="A162" s="6" t="s">
        <v>4036</v>
      </c>
      <c r="B162" s="3" t="s">
        <v>4037</v>
      </c>
      <c r="C162" s="4">
        <v>1</v>
      </c>
      <c r="D162" s="5">
        <v>30</v>
      </c>
      <c r="E162" s="4" t="s">
        <v>4038</v>
      </c>
      <c r="F162" s="3" t="s">
        <v>5532</v>
      </c>
      <c r="G162" s="7" t="s">
        <v>5898</v>
      </c>
      <c r="H162" s="3" t="s">
        <v>5899</v>
      </c>
      <c r="I162" s="3" t="s">
        <v>4039</v>
      </c>
      <c r="J162" s="3" t="s">
        <v>5536</v>
      </c>
      <c r="K162" s="3" t="s">
        <v>5727</v>
      </c>
      <c r="L162" s="8" t="str">
        <f>HYPERLINK("http://slimages.macys.com/is/image/MCY/14371948 ")</f>
        <v xml:space="preserve">http://slimages.macys.com/is/image/MCY/14371948 </v>
      </c>
    </row>
    <row r="163" spans="1:12" x14ac:dyDescent="0.25">
      <c r="A163" s="6" t="s">
        <v>4040</v>
      </c>
      <c r="B163" s="3" t="s">
        <v>4041</v>
      </c>
      <c r="C163" s="4">
        <v>1</v>
      </c>
      <c r="D163" s="5">
        <v>39.99</v>
      </c>
      <c r="E163" s="4" t="s">
        <v>4042</v>
      </c>
      <c r="F163" s="3" t="s">
        <v>4043</v>
      </c>
      <c r="G163" s="7" t="s">
        <v>5560</v>
      </c>
      <c r="H163" s="3" t="s">
        <v>6003</v>
      </c>
      <c r="I163" s="3" t="s">
        <v>6004</v>
      </c>
      <c r="J163" s="3" t="s">
        <v>5536</v>
      </c>
      <c r="K163" s="3" t="s">
        <v>6021</v>
      </c>
      <c r="L163" s="8" t="str">
        <f>HYPERLINK("http://slimages.macys.com/is/image/MCY/16328008 ")</f>
        <v xml:space="preserve">http://slimages.macys.com/is/image/MCY/16328008 </v>
      </c>
    </row>
    <row r="164" spans="1:12" x14ac:dyDescent="0.25">
      <c r="A164" s="6" t="s">
        <v>4044</v>
      </c>
      <c r="B164" s="3" t="s">
        <v>4045</v>
      </c>
      <c r="C164" s="4">
        <v>1</v>
      </c>
      <c r="D164" s="5">
        <v>39.99</v>
      </c>
      <c r="E164" s="4" t="s">
        <v>4046</v>
      </c>
      <c r="F164" s="3" t="s">
        <v>5578</v>
      </c>
      <c r="G164" s="7" t="s">
        <v>5598</v>
      </c>
      <c r="H164" s="3" t="s">
        <v>6003</v>
      </c>
      <c r="I164" s="3" t="s">
        <v>6004</v>
      </c>
      <c r="J164" s="3" t="s">
        <v>5536</v>
      </c>
      <c r="K164" s="3" t="s">
        <v>6021</v>
      </c>
      <c r="L164" s="8" t="str">
        <f>HYPERLINK("http://slimages.macys.com/is/image/MCY/16326304 ")</f>
        <v xml:space="preserve">http://slimages.macys.com/is/image/MCY/16326304 </v>
      </c>
    </row>
    <row r="165" spans="1:12" x14ac:dyDescent="0.25">
      <c r="A165" s="6" t="s">
        <v>4047</v>
      </c>
      <c r="B165" s="3" t="s">
        <v>4045</v>
      </c>
      <c r="C165" s="4">
        <v>1</v>
      </c>
      <c r="D165" s="5">
        <v>39.99</v>
      </c>
      <c r="E165" s="4" t="s">
        <v>4046</v>
      </c>
      <c r="F165" s="3" t="s">
        <v>5578</v>
      </c>
      <c r="G165" s="7" t="s">
        <v>5562</v>
      </c>
      <c r="H165" s="3" t="s">
        <v>6003</v>
      </c>
      <c r="I165" s="3" t="s">
        <v>6004</v>
      </c>
      <c r="J165" s="3" t="s">
        <v>5536</v>
      </c>
      <c r="K165" s="3" t="s">
        <v>6021</v>
      </c>
      <c r="L165" s="8" t="str">
        <f>HYPERLINK("http://slimages.macys.com/is/image/MCY/16326304 ")</f>
        <v xml:space="preserve">http://slimages.macys.com/is/image/MCY/16326304 </v>
      </c>
    </row>
    <row r="166" spans="1:12" x14ac:dyDescent="0.25">
      <c r="A166" s="6" t="s">
        <v>4048</v>
      </c>
      <c r="B166" s="3" t="s">
        <v>4041</v>
      </c>
      <c r="C166" s="4">
        <v>2</v>
      </c>
      <c r="D166" s="5">
        <v>79.98</v>
      </c>
      <c r="E166" s="4" t="s">
        <v>4042</v>
      </c>
      <c r="F166" s="3" t="s">
        <v>4043</v>
      </c>
      <c r="G166" s="7" t="s">
        <v>5596</v>
      </c>
      <c r="H166" s="3" t="s">
        <v>6003</v>
      </c>
      <c r="I166" s="3" t="s">
        <v>6004</v>
      </c>
      <c r="J166" s="3" t="s">
        <v>5536</v>
      </c>
      <c r="K166" s="3" t="s">
        <v>6021</v>
      </c>
      <c r="L166" s="8" t="str">
        <f>HYPERLINK("http://slimages.macys.com/is/image/MCY/16328008 ")</f>
        <v xml:space="preserve">http://slimages.macys.com/is/image/MCY/16328008 </v>
      </c>
    </row>
    <row r="167" spans="1:12" x14ac:dyDescent="0.25">
      <c r="A167" s="6" t="s">
        <v>4049</v>
      </c>
      <c r="B167" s="3" t="s">
        <v>4045</v>
      </c>
      <c r="C167" s="4">
        <v>5</v>
      </c>
      <c r="D167" s="5">
        <v>199.95</v>
      </c>
      <c r="E167" s="4" t="s">
        <v>4046</v>
      </c>
      <c r="F167" s="3" t="s">
        <v>5578</v>
      </c>
      <c r="G167" s="7" t="s">
        <v>5596</v>
      </c>
      <c r="H167" s="3" t="s">
        <v>6003</v>
      </c>
      <c r="I167" s="3" t="s">
        <v>6004</v>
      </c>
      <c r="J167" s="3" t="s">
        <v>5536</v>
      </c>
      <c r="K167" s="3" t="s">
        <v>6021</v>
      </c>
      <c r="L167" s="8" t="str">
        <f>HYPERLINK("http://slimages.macys.com/is/image/MCY/16326304 ")</f>
        <v xml:space="preserve">http://slimages.macys.com/is/image/MCY/16326304 </v>
      </c>
    </row>
    <row r="168" spans="1:12" x14ac:dyDescent="0.25">
      <c r="A168" s="6" t="s">
        <v>4050</v>
      </c>
      <c r="B168" s="3" t="s">
        <v>4045</v>
      </c>
      <c r="C168" s="4">
        <v>1</v>
      </c>
      <c r="D168" s="5">
        <v>39.99</v>
      </c>
      <c r="E168" s="4" t="s">
        <v>4046</v>
      </c>
      <c r="F168" s="3" t="s">
        <v>5578</v>
      </c>
      <c r="G168" s="7" t="s">
        <v>5533</v>
      </c>
      <c r="H168" s="3" t="s">
        <v>6003</v>
      </c>
      <c r="I168" s="3" t="s">
        <v>6004</v>
      </c>
      <c r="J168" s="3" t="s">
        <v>5536</v>
      </c>
      <c r="K168" s="3" t="s">
        <v>6021</v>
      </c>
      <c r="L168" s="8" t="str">
        <f>HYPERLINK("http://slimages.macys.com/is/image/MCY/16326304 ")</f>
        <v xml:space="preserve">http://slimages.macys.com/is/image/MCY/16326304 </v>
      </c>
    </row>
    <row r="169" spans="1:12" x14ac:dyDescent="0.25">
      <c r="A169" s="6" t="s">
        <v>4051</v>
      </c>
      <c r="B169" s="3" t="s">
        <v>4052</v>
      </c>
      <c r="C169" s="4">
        <v>2</v>
      </c>
      <c r="D169" s="5">
        <v>85.98</v>
      </c>
      <c r="E169" s="4" t="s">
        <v>4053</v>
      </c>
      <c r="F169" s="3" t="s">
        <v>5540</v>
      </c>
      <c r="G169" s="7" t="s">
        <v>5560</v>
      </c>
      <c r="H169" s="3" t="s">
        <v>6003</v>
      </c>
      <c r="I169" s="3" t="s">
        <v>6004</v>
      </c>
      <c r="J169" s="3" t="s">
        <v>5536</v>
      </c>
      <c r="K169" s="3" t="s">
        <v>6071</v>
      </c>
      <c r="L169" s="8" t="str">
        <f>HYPERLINK("http://slimages.macys.com/is/image/MCY/10150497 ")</f>
        <v xml:space="preserve">http://slimages.macys.com/is/image/MCY/10150497 </v>
      </c>
    </row>
    <row r="170" spans="1:12" x14ac:dyDescent="0.25">
      <c r="A170" s="6" t="s">
        <v>4054</v>
      </c>
      <c r="B170" s="3" t="s">
        <v>4052</v>
      </c>
      <c r="C170" s="4">
        <v>1</v>
      </c>
      <c r="D170" s="5">
        <v>42.99</v>
      </c>
      <c r="E170" s="4" t="s">
        <v>4053</v>
      </c>
      <c r="F170" s="3" t="s">
        <v>5540</v>
      </c>
      <c r="G170" s="7" t="s">
        <v>5533</v>
      </c>
      <c r="H170" s="3" t="s">
        <v>6003</v>
      </c>
      <c r="I170" s="3" t="s">
        <v>6004</v>
      </c>
      <c r="J170" s="3" t="s">
        <v>5536</v>
      </c>
      <c r="K170" s="3" t="s">
        <v>6071</v>
      </c>
      <c r="L170" s="8" t="str">
        <f>HYPERLINK("http://slimages.macys.com/is/image/MCY/10150497 ")</f>
        <v xml:space="preserve">http://slimages.macys.com/is/image/MCY/10150497 </v>
      </c>
    </row>
    <row r="171" spans="1:12" x14ac:dyDescent="0.25">
      <c r="A171" s="6" t="s">
        <v>4055</v>
      </c>
      <c r="B171" s="3" t="s">
        <v>4052</v>
      </c>
      <c r="C171" s="4">
        <v>1</v>
      </c>
      <c r="D171" s="5">
        <v>42.99</v>
      </c>
      <c r="E171" s="4" t="s">
        <v>4053</v>
      </c>
      <c r="F171" s="3" t="s">
        <v>5540</v>
      </c>
      <c r="G171" s="7" t="s">
        <v>5598</v>
      </c>
      <c r="H171" s="3" t="s">
        <v>6003</v>
      </c>
      <c r="I171" s="3" t="s">
        <v>6004</v>
      </c>
      <c r="J171" s="3" t="s">
        <v>5536</v>
      </c>
      <c r="K171" s="3" t="s">
        <v>6071</v>
      </c>
      <c r="L171" s="8" t="str">
        <f>HYPERLINK("http://slimages.macys.com/is/image/MCY/10150497 ")</f>
        <v xml:space="preserve">http://slimages.macys.com/is/image/MCY/10150497 </v>
      </c>
    </row>
    <row r="172" spans="1:12" x14ac:dyDescent="0.25">
      <c r="A172" s="6" t="s">
        <v>4056</v>
      </c>
      <c r="B172" s="3" t="s">
        <v>4052</v>
      </c>
      <c r="C172" s="4">
        <v>1</v>
      </c>
      <c r="D172" s="5">
        <v>42.99</v>
      </c>
      <c r="E172" s="4" t="s">
        <v>4053</v>
      </c>
      <c r="F172" s="3" t="s">
        <v>5540</v>
      </c>
      <c r="G172" s="7" t="s">
        <v>5533</v>
      </c>
      <c r="H172" s="3" t="s">
        <v>6003</v>
      </c>
      <c r="I172" s="3" t="s">
        <v>6004</v>
      </c>
      <c r="J172" s="3" t="s">
        <v>5536</v>
      </c>
      <c r="K172" s="3" t="s">
        <v>6071</v>
      </c>
      <c r="L172" s="8" t="str">
        <f>HYPERLINK("http://slimages.macys.com/is/image/MCY/10150497 ")</f>
        <v xml:space="preserve">http://slimages.macys.com/is/image/MCY/10150497 </v>
      </c>
    </row>
    <row r="173" spans="1:12" ht="24.75" x14ac:dyDescent="0.25">
      <c r="A173" s="6" t="s">
        <v>4057</v>
      </c>
      <c r="B173" s="3" t="s">
        <v>4058</v>
      </c>
      <c r="C173" s="4">
        <v>1</v>
      </c>
      <c r="D173" s="5">
        <v>40</v>
      </c>
      <c r="E173" s="4" t="s">
        <v>4059</v>
      </c>
      <c r="F173" s="3" t="s">
        <v>5540</v>
      </c>
      <c r="G173" s="7" t="s">
        <v>5598</v>
      </c>
      <c r="H173" s="3" t="s">
        <v>6019</v>
      </c>
      <c r="I173" s="3" t="s">
        <v>6020</v>
      </c>
      <c r="J173" s="3" t="s">
        <v>5536</v>
      </c>
      <c r="K173" s="3" t="s">
        <v>4060</v>
      </c>
      <c r="L173" s="8" t="str">
        <f>HYPERLINK("http://slimages.macys.com/is/image/MCY/14725728 ")</f>
        <v xml:space="preserve">http://slimages.macys.com/is/image/MCY/14725728 </v>
      </c>
    </row>
    <row r="174" spans="1:12" ht="24.75" x14ac:dyDescent="0.25">
      <c r="A174" s="6" t="s">
        <v>4061</v>
      </c>
      <c r="B174" s="3" t="s">
        <v>4062</v>
      </c>
      <c r="C174" s="4">
        <v>1</v>
      </c>
      <c r="D174" s="5">
        <v>39.99</v>
      </c>
      <c r="E174" s="4" t="s">
        <v>4063</v>
      </c>
      <c r="F174" s="3" t="s">
        <v>5566</v>
      </c>
      <c r="G174" s="7" t="s">
        <v>5533</v>
      </c>
      <c r="H174" s="3" t="s">
        <v>4064</v>
      </c>
      <c r="I174" s="3" t="s">
        <v>4065</v>
      </c>
      <c r="J174" s="3" t="s">
        <v>5536</v>
      </c>
      <c r="K174" s="3" t="s">
        <v>5727</v>
      </c>
      <c r="L174" s="8" t="str">
        <f>HYPERLINK("http://slimages.macys.com/is/image/MCY/15782340 ")</f>
        <v xml:space="preserve">http://slimages.macys.com/is/image/MCY/15782340 </v>
      </c>
    </row>
    <row r="175" spans="1:12" ht="24.75" x14ac:dyDescent="0.25">
      <c r="A175" s="6" t="s">
        <v>4066</v>
      </c>
      <c r="B175" s="3" t="s">
        <v>4067</v>
      </c>
      <c r="C175" s="4">
        <v>1</v>
      </c>
      <c r="D175" s="5">
        <v>34.43</v>
      </c>
      <c r="E175" s="4" t="s">
        <v>4068</v>
      </c>
      <c r="F175" s="3" t="s">
        <v>5540</v>
      </c>
      <c r="G175" s="7" t="s">
        <v>5898</v>
      </c>
      <c r="H175" s="3" t="s">
        <v>5842</v>
      </c>
      <c r="I175" s="3" t="s">
        <v>5904</v>
      </c>
      <c r="J175" s="3" t="s">
        <v>5536</v>
      </c>
      <c r="K175" s="3" t="s">
        <v>5984</v>
      </c>
      <c r="L175" s="8" t="str">
        <f>HYPERLINK("http://slimages.macys.com/is/image/MCY/14312751 ")</f>
        <v xml:space="preserve">http://slimages.macys.com/is/image/MCY/14312751 </v>
      </c>
    </row>
    <row r="176" spans="1:12" ht="24.75" x14ac:dyDescent="0.25">
      <c r="A176" s="6" t="s">
        <v>4069</v>
      </c>
      <c r="B176" s="3" t="s">
        <v>4070</v>
      </c>
      <c r="C176" s="4">
        <v>1</v>
      </c>
      <c r="D176" s="5">
        <v>34.43</v>
      </c>
      <c r="E176" s="4" t="s">
        <v>4071</v>
      </c>
      <c r="F176" s="3" t="s">
        <v>5540</v>
      </c>
      <c r="G176" s="7" t="s">
        <v>5898</v>
      </c>
      <c r="H176" s="3" t="s">
        <v>5842</v>
      </c>
      <c r="I176" s="3" t="s">
        <v>5904</v>
      </c>
      <c r="J176" s="3" t="s">
        <v>5536</v>
      </c>
      <c r="K176" s="3" t="s">
        <v>5984</v>
      </c>
      <c r="L176" s="8" t="str">
        <f>HYPERLINK("http://slimages.macys.com/is/image/MCY/15724005 ")</f>
        <v xml:space="preserve">http://slimages.macys.com/is/image/MCY/15724005 </v>
      </c>
    </row>
    <row r="177" spans="1:12" ht="24.75" x14ac:dyDescent="0.25">
      <c r="A177" s="6" t="s">
        <v>4072</v>
      </c>
      <c r="B177" s="3" t="s">
        <v>4073</v>
      </c>
      <c r="C177" s="4">
        <v>1</v>
      </c>
      <c r="D177" s="5">
        <v>17</v>
      </c>
      <c r="E177" s="4" t="s">
        <v>4074</v>
      </c>
      <c r="F177" s="3" t="s">
        <v>5540</v>
      </c>
      <c r="G177" s="7" t="s">
        <v>5898</v>
      </c>
      <c r="H177" s="3" t="s">
        <v>5899</v>
      </c>
      <c r="I177" s="3" t="s">
        <v>5900</v>
      </c>
      <c r="J177" s="3" t="s">
        <v>5536</v>
      </c>
      <c r="K177" s="3" t="s">
        <v>5727</v>
      </c>
      <c r="L177" s="8" t="str">
        <f>HYPERLINK("http://slimages.macys.com/is/image/MCY/9504283 ")</f>
        <v xml:space="preserve">http://slimages.macys.com/is/image/MCY/9504283 </v>
      </c>
    </row>
    <row r="178" spans="1:12" ht="24.75" x14ac:dyDescent="0.25">
      <c r="A178" s="6" t="s">
        <v>4075</v>
      </c>
      <c r="B178" s="3" t="s">
        <v>4076</v>
      </c>
      <c r="C178" s="4">
        <v>1</v>
      </c>
      <c r="D178" s="5">
        <v>45</v>
      </c>
      <c r="E178" s="4" t="s">
        <v>4077</v>
      </c>
      <c r="F178" s="3" t="s">
        <v>5540</v>
      </c>
      <c r="G178" s="7" t="s">
        <v>5560</v>
      </c>
      <c r="H178" s="3" t="s">
        <v>6019</v>
      </c>
      <c r="I178" s="3" t="s">
        <v>3918</v>
      </c>
      <c r="J178" s="3" t="s">
        <v>5536</v>
      </c>
      <c r="K178" s="3" t="s">
        <v>5574</v>
      </c>
      <c r="L178" s="8" t="str">
        <f>HYPERLINK("http://slimages.macys.com/is/image/MCY/16195686 ")</f>
        <v xml:space="preserve">http://slimages.macys.com/is/image/MCY/16195686 </v>
      </c>
    </row>
    <row r="179" spans="1:12" x14ac:dyDescent="0.25">
      <c r="A179" s="6" t="s">
        <v>4078</v>
      </c>
      <c r="B179" s="3" t="s">
        <v>4079</v>
      </c>
      <c r="C179" s="4">
        <v>1</v>
      </c>
      <c r="D179" s="5">
        <v>34.99</v>
      </c>
      <c r="E179" s="4" t="s">
        <v>4080</v>
      </c>
      <c r="F179" s="3" t="s">
        <v>5540</v>
      </c>
      <c r="G179" s="7" t="s">
        <v>5598</v>
      </c>
      <c r="H179" s="3" t="s">
        <v>6065</v>
      </c>
      <c r="I179" s="3" t="s">
        <v>6066</v>
      </c>
      <c r="J179" s="3" t="s">
        <v>5536</v>
      </c>
      <c r="K179" s="3" t="s">
        <v>7165</v>
      </c>
      <c r="L179" s="8" t="str">
        <f>HYPERLINK("http://slimages.macys.com/is/image/MCY/13906357 ")</f>
        <v xml:space="preserve">http://slimages.macys.com/is/image/MCY/13906357 </v>
      </c>
    </row>
    <row r="180" spans="1:12" x14ac:dyDescent="0.25">
      <c r="A180" s="6" t="s">
        <v>4081</v>
      </c>
      <c r="B180" s="3" t="s">
        <v>4079</v>
      </c>
      <c r="C180" s="4">
        <v>1</v>
      </c>
      <c r="D180" s="5">
        <v>34.99</v>
      </c>
      <c r="E180" s="4" t="s">
        <v>4080</v>
      </c>
      <c r="F180" s="3" t="s">
        <v>5540</v>
      </c>
      <c r="G180" s="7" t="s">
        <v>5562</v>
      </c>
      <c r="H180" s="3" t="s">
        <v>6065</v>
      </c>
      <c r="I180" s="3" t="s">
        <v>6066</v>
      </c>
      <c r="J180" s="3" t="s">
        <v>5536</v>
      </c>
      <c r="K180" s="3" t="s">
        <v>7165</v>
      </c>
      <c r="L180" s="8" t="str">
        <f>HYPERLINK("http://slimages.macys.com/is/image/MCY/13906357 ")</f>
        <v xml:space="preserve">http://slimages.macys.com/is/image/MCY/13906357 </v>
      </c>
    </row>
    <row r="181" spans="1:12" ht="24.75" x14ac:dyDescent="0.25">
      <c r="A181" s="6" t="s">
        <v>4082</v>
      </c>
      <c r="B181" s="3" t="s">
        <v>4083</v>
      </c>
      <c r="C181" s="4">
        <v>1</v>
      </c>
      <c r="D181" s="5">
        <v>25.5</v>
      </c>
      <c r="E181" s="4">
        <v>54323</v>
      </c>
      <c r="F181" s="3" t="s">
        <v>5625</v>
      </c>
      <c r="G181" s="7" t="s">
        <v>5533</v>
      </c>
      <c r="H181" s="3" t="s">
        <v>5794</v>
      </c>
      <c r="I181" s="3" t="s">
        <v>4084</v>
      </c>
      <c r="J181" s="3" t="s">
        <v>5536</v>
      </c>
      <c r="K181" s="3" t="s">
        <v>5587</v>
      </c>
      <c r="L181" s="8" t="str">
        <f>HYPERLINK("http://slimages.macys.com/is/image/MCY/11792020 ")</f>
        <v xml:space="preserve">http://slimages.macys.com/is/image/MCY/11792020 </v>
      </c>
    </row>
    <row r="182" spans="1:12" ht="24.75" x14ac:dyDescent="0.25">
      <c r="A182" s="6" t="s">
        <v>4085</v>
      </c>
      <c r="B182" s="3" t="s">
        <v>4086</v>
      </c>
      <c r="C182" s="4">
        <v>1</v>
      </c>
      <c r="D182" s="5">
        <v>34.299999999999997</v>
      </c>
      <c r="E182" s="4" t="s">
        <v>4087</v>
      </c>
      <c r="F182" s="3" t="s">
        <v>5640</v>
      </c>
      <c r="G182" s="7" t="s">
        <v>5799</v>
      </c>
      <c r="H182" s="3" t="s">
        <v>6131</v>
      </c>
      <c r="I182" s="3" t="s">
        <v>6204</v>
      </c>
      <c r="J182" s="3" t="s">
        <v>5536</v>
      </c>
      <c r="K182" s="3" t="s">
        <v>4088</v>
      </c>
      <c r="L182" s="8" t="str">
        <f>HYPERLINK("http://slimages.macys.com/is/image/MCY/14344083 ")</f>
        <v xml:space="preserve">http://slimages.macys.com/is/image/MCY/14344083 </v>
      </c>
    </row>
    <row r="183" spans="1:12" ht="24.75" x14ac:dyDescent="0.25">
      <c r="A183" s="6" t="s">
        <v>4089</v>
      </c>
      <c r="B183" s="3" t="s">
        <v>4086</v>
      </c>
      <c r="C183" s="4">
        <v>1</v>
      </c>
      <c r="D183" s="5">
        <v>34.299999999999997</v>
      </c>
      <c r="E183" s="4" t="s">
        <v>4087</v>
      </c>
      <c r="F183" s="3" t="s">
        <v>5640</v>
      </c>
      <c r="G183" s="7" t="s">
        <v>6500</v>
      </c>
      <c r="H183" s="3" t="s">
        <v>6131</v>
      </c>
      <c r="I183" s="3" t="s">
        <v>6204</v>
      </c>
      <c r="J183" s="3" t="s">
        <v>5536</v>
      </c>
      <c r="K183" s="3" t="s">
        <v>4088</v>
      </c>
      <c r="L183" s="8" t="str">
        <f>HYPERLINK("http://slimages.macys.com/is/image/MCY/14344083 ")</f>
        <v xml:space="preserve">http://slimages.macys.com/is/image/MCY/14344083 </v>
      </c>
    </row>
    <row r="184" spans="1:12" ht="24.75" x14ac:dyDescent="0.25">
      <c r="A184" s="6" t="s">
        <v>4090</v>
      </c>
      <c r="B184" s="3" t="s">
        <v>4086</v>
      </c>
      <c r="C184" s="4">
        <v>1</v>
      </c>
      <c r="D184" s="5">
        <v>34.299999999999997</v>
      </c>
      <c r="E184" s="4" t="s">
        <v>4087</v>
      </c>
      <c r="F184" s="3" t="s">
        <v>5640</v>
      </c>
      <c r="G184" s="7" t="s">
        <v>5852</v>
      </c>
      <c r="H184" s="3" t="s">
        <v>6131</v>
      </c>
      <c r="I184" s="3" t="s">
        <v>6204</v>
      </c>
      <c r="J184" s="3" t="s">
        <v>5536</v>
      </c>
      <c r="K184" s="3" t="s">
        <v>4088</v>
      </c>
      <c r="L184" s="8" t="str">
        <f>HYPERLINK("http://slimages.macys.com/is/image/MCY/14344083 ")</f>
        <v xml:space="preserve">http://slimages.macys.com/is/image/MCY/14344083 </v>
      </c>
    </row>
    <row r="185" spans="1:12" x14ac:dyDescent="0.25">
      <c r="A185" s="6" t="s">
        <v>4091</v>
      </c>
      <c r="B185" s="3" t="s">
        <v>4092</v>
      </c>
      <c r="C185" s="4">
        <v>1</v>
      </c>
      <c r="D185" s="5">
        <v>65</v>
      </c>
      <c r="E185" s="4">
        <v>100082393</v>
      </c>
      <c r="F185" s="3" t="s">
        <v>4043</v>
      </c>
      <c r="G185" s="7" t="s">
        <v>5533</v>
      </c>
      <c r="H185" s="3" t="s">
        <v>5585</v>
      </c>
      <c r="I185" s="3" t="s">
        <v>5734</v>
      </c>
      <c r="J185" s="3" t="s">
        <v>5536</v>
      </c>
      <c r="K185" s="3" t="s">
        <v>5549</v>
      </c>
      <c r="L185" s="8" t="str">
        <f>HYPERLINK("http://slimages.macys.com/is/image/MCY/15889019 ")</f>
        <v xml:space="preserve">http://slimages.macys.com/is/image/MCY/15889019 </v>
      </c>
    </row>
    <row r="186" spans="1:12" ht="24.75" x14ac:dyDescent="0.25">
      <c r="A186" s="6" t="s">
        <v>4093</v>
      </c>
      <c r="B186" s="3" t="s">
        <v>4094</v>
      </c>
      <c r="C186" s="4">
        <v>1</v>
      </c>
      <c r="D186" s="5">
        <v>29.99</v>
      </c>
      <c r="E186" s="4" t="s">
        <v>4095</v>
      </c>
      <c r="F186" s="3" t="s">
        <v>5532</v>
      </c>
      <c r="G186" s="7" t="s">
        <v>5562</v>
      </c>
      <c r="H186" s="3" t="s">
        <v>6608</v>
      </c>
      <c r="I186" s="3" t="s">
        <v>6609</v>
      </c>
      <c r="J186" s="3" t="s">
        <v>5536</v>
      </c>
      <c r="K186" s="3" t="s">
        <v>5549</v>
      </c>
      <c r="L186" s="8" t="str">
        <f>HYPERLINK("http://slimages.macys.com/is/image/MCY/14311795 ")</f>
        <v xml:space="preserve">http://slimages.macys.com/is/image/MCY/14311795 </v>
      </c>
    </row>
    <row r="187" spans="1:12" ht="24.75" x14ac:dyDescent="0.25">
      <c r="A187" s="6" t="s">
        <v>4096</v>
      </c>
      <c r="B187" s="3" t="s">
        <v>4097</v>
      </c>
      <c r="C187" s="4">
        <v>1</v>
      </c>
      <c r="D187" s="5">
        <v>29.99</v>
      </c>
      <c r="E187" s="4" t="s">
        <v>4098</v>
      </c>
      <c r="F187" s="3" t="s">
        <v>5540</v>
      </c>
      <c r="G187" s="7" t="s">
        <v>5596</v>
      </c>
      <c r="H187" s="3" t="s">
        <v>6608</v>
      </c>
      <c r="I187" s="3" t="s">
        <v>6609</v>
      </c>
      <c r="J187" s="3" t="s">
        <v>5536</v>
      </c>
      <c r="K187" s="3" t="s">
        <v>5549</v>
      </c>
      <c r="L187" s="8" t="str">
        <f>HYPERLINK("http://slimages.macys.com/is/image/MCY/14311791 ")</f>
        <v xml:space="preserve">http://slimages.macys.com/is/image/MCY/14311791 </v>
      </c>
    </row>
    <row r="188" spans="1:12" ht="24.75" x14ac:dyDescent="0.25">
      <c r="A188" s="6" t="s">
        <v>4099</v>
      </c>
      <c r="B188" s="3" t="s">
        <v>4100</v>
      </c>
      <c r="C188" s="4">
        <v>1</v>
      </c>
      <c r="D188" s="5">
        <v>29.99</v>
      </c>
      <c r="E188" s="4" t="s">
        <v>4101</v>
      </c>
      <c r="F188" s="3" t="s">
        <v>5661</v>
      </c>
      <c r="G188" s="7" t="s">
        <v>5596</v>
      </c>
      <c r="H188" s="3" t="s">
        <v>6608</v>
      </c>
      <c r="I188" s="3" t="s">
        <v>6609</v>
      </c>
      <c r="J188" s="3" t="s">
        <v>5536</v>
      </c>
      <c r="K188" s="3" t="s">
        <v>5594</v>
      </c>
      <c r="L188" s="8" t="str">
        <f>HYPERLINK("http://slimages.macys.com/is/image/MCY/14311874 ")</f>
        <v xml:space="preserve">http://slimages.macys.com/is/image/MCY/14311874 </v>
      </c>
    </row>
    <row r="189" spans="1:12" ht="24.75" x14ac:dyDescent="0.25">
      <c r="A189" s="6" t="s">
        <v>4102</v>
      </c>
      <c r="B189" s="3" t="s">
        <v>4103</v>
      </c>
      <c r="C189" s="4">
        <v>2</v>
      </c>
      <c r="D189" s="5">
        <v>59.98</v>
      </c>
      <c r="E189" s="4" t="s">
        <v>4104</v>
      </c>
      <c r="F189" s="3" t="s">
        <v>5532</v>
      </c>
      <c r="G189" s="7" t="s">
        <v>5598</v>
      </c>
      <c r="H189" s="3" t="s">
        <v>6608</v>
      </c>
      <c r="I189" s="3" t="s">
        <v>6609</v>
      </c>
      <c r="J189" s="3" t="s">
        <v>5536</v>
      </c>
      <c r="K189" s="3" t="s">
        <v>5594</v>
      </c>
      <c r="L189" s="8" t="str">
        <f>HYPERLINK("http://slimages.macys.com/is/image/MCY/9820981 ")</f>
        <v xml:space="preserve">http://slimages.macys.com/is/image/MCY/9820981 </v>
      </c>
    </row>
    <row r="190" spans="1:12" ht="24.75" x14ac:dyDescent="0.25">
      <c r="A190" s="6" t="s">
        <v>4105</v>
      </c>
      <c r="B190" s="3" t="s">
        <v>4097</v>
      </c>
      <c r="C190" s="4">
        <v>1</v>
      </c>
      <c r="D190" s="5">
        <v>29.99</v>
      </c>
      <c r="E190" s="4" t="s">
        <v>4098</v>
      </c>
      <c r="F190" s="3" t="s">
        <v>5540</v>
      </c>
      <c r="G190" s="7" t="s">
        <v>5560</v>
      </c>
      <c r="H190" s="3" t="s">
        <v>6608</v>
      </c>
      <c r="I190" s="3" t="s">
        <v>6609</v>
      </c>
      <c r="J190" s="3" t="s">
        <v>5536</v>
      </c>
      <c r="K190" s="3" t="s">
        <v>5549</v>
      </c>
      <c r="L190" s="8" t="str">
        <f>HYPERLINK("http://slimages.macys.com/is/image/MCY/14311791 ")</f>
        <v xml:space="preserve">http://slimages.macys.com/is/image/MCY/14311791 </v>
      </c>
    </row>
    <row r="191" spans="1:12" ht="24.75" x14ac:dyDescent="0.25">
      <c r="A191" s="6" t="s">
        <v>4106</v>
      </c>
      <c r="B191" s="3" t="s">
        <v>4097</v>
      </c>
      <c r="C191" s="4">
        <v>1</v>
      </c>
      <c r="D191" s="5">
        <v>29.99</v>
      </c>
      <c r="E191" s="4" t="s">
        <v>4098</v>
      </c>
      <c r="F191" s="3" t="s">
        <v>5540</v>
      </c>
      <c r="G191" s="7" t="s">
        <v>5533</v>
      </c>
      <c r="H191" s="3" t="s">
        <v>6608</v>
      </c>
      <c r="I191" s="3" t="s">
        <v>6609</v>
      </c>
      <c r="J191" s="3" t="s">
        <v>5536</v>
      </c>
      <c r="K191" s="3" t="s">
        <v>5549</v>
      </c>
      <c r="L191" s="8" t="str">
        <f>HYPERLINK("http://slimages.macys.com/is/image/MCY/14311791 ")</f>
        <v xml:space="preserve">http://slimages.macys.com/is/image/MCY/14311791 </v>
      </c>
    </row>
    <row r="192" spans="1:12" ht="24.75" x14ac:dyDescent="0.25">
      <c r="A192" s="6" t="s">
        <v>4107</v>
      </c>
      <c r="B192" s="3" t="s">
        <v>4108</v>
      </c>
      <c r="C192" s="4">
        <v>1</v>
      </c>
      <c r="D192" s="5">
        <v>29.99</v>
      </c>
      <c r="E192" s="4" t="s">
        <v>4109</v>
      </c>
      <c r="F192" s="3" t="s">
        <v>5540</v>
      </c>
      <c r="G192" s="7" t="s">
        <v>5560</v>
      </c>
      <c r="H192" s="3" t="s">
        <v>6608</v>
      </c>
      <c r="I192" s="3" t="s">
        <v>6609</v>
      </c>
      <c r="J192" s="3" t="s">
        <v>5536</v>
      </c>
      <c r="K192" s="3" t="s">
        <v>5594</v>
      </c>
      <c r="L192" s="8" t="str">
        <f>HYPERLINK("http://slimages.macys.com/is/image/MCY/14311823 ")</f>
        <v xml:space="preserve">http://slimages.macys.com/is/image/MCY/14311823 </v>
      </c>
    </row>
    <row r="193" spans="1:12" ht="24.75" x14ac:dyDescent="0.25">
      <c r="A193" s="6" t="s">
        <v>4110</v>
      </c>
      <c r="B193" s="3" t="s">
        <v>4108</v>
      </c>
      <c r="C193" s="4">
        <v>3</v>
      </c>
      <c r="D193" s="5">
        <v>89.97</v>
      </c>
      <c r="E193" s="4" t="s">
        <v>4109</v>
      </c>
      <c r="F193" s="3" t="s">
        <v>5540</v>
      </c>
      <c r="G193" s="7" t="s">
        <v>5596</v>
      </c>
      <c r="H193" s="3" t="s">
        <v>6608</v>
      </c>
      <c r="I193" s="3" t="s">
        <v>6609</v>
      </c>
      <c r="J193" s="3" t="s">
        <v>5536</v>
      </c>
      <c r="K193" s="3" t="s">
        <v>5594</v>
      </c>
      <c r="L193" s="8" t="str">
        <f>HYPERLINK("http://slimages.macys.com/is/image/MCY/14311823 ")</f>
        <v xml:space="preserve">http://slimages.macys.com/is/image/MCY/14311823 </v>
      </c>
    </row>
    <row r="194" spans="1:12" ht="24.75" x14ac:dyDescent="0.25">
      <c r="A194" s="6" t="s">
        <v>4111</v>
      </c>
      <c r="B194" s="3" t="s">
        <v>4103</v>
      </c>
      <c r="C194" s="4">
        <v>2</v>
      </c>
      <c r="D194" s="5">
        <v>59.98</v>
      </c>
      <c r="E194" s="4" t="s">
        <v>4104</v>
      </c>
      <c r="F194" s="3" t="s">
        <v>5532</v>
      </c>
      <c r="G194" s="7" t="s">
        <v>5560</v>
      </c>
      <c r="H194" s="3" t="s">
        <v>6608</v>
      </c>
      <c r="I194" s="3" t="s">
        <v>6609</v>
      </c>
      <c r="J194" s="3" t="s">
        <v>5536</v>
      </c>
      <c r="K194" s="3" t="s">
        <v>5594</v>
      </c>
      <c r="L194" s="8" t="str">
        <f>HYPERLINK("http://slimages.macys.com/is/image/MCY/9820981 ")</f>
        <v xml:space="preserve">http://slimages.macys.com/is/image/MCY/9820981 </v>
      </c>
    </row>
    <row r="195" spans="1:12" ht="24.75" x14ac:dyDescent="0.25">
      <c r="A195" s="6" t="s">
        <v>4112</v>
      </c>
      <c r="B195" s="3" t="s">
        <v>4113</v>
      </c>
      <c r="C195" s="4">
        <v>1</v>
      </c>
      <c r="D195" s="5">
        <v>29.99</v>
      </c>
      <c r="E195" s="4" t="s">
        <v>4114</v>
      </c>
      <c r="F195" s="3" t="s">
        <v>5552</v>
      </c>
      <c r="G195" s="7" t="s">
        <v>5596</v>
      </c>
      <c r="H195" s="3" t="s">
        <v>6608</v>
      </c>
      <c r="I195" s="3" t="s">
        <v>6609</v>
      </c>
      <c r="J195" s="3" t="s">
        <v>5536</v>
      </c>
      <c r="K195" s="3" t="s">
        <v>5594</v>
      </c>
      <c r="L195" s="8" t="str">
        <f>HYPERLINK("http://slimages.macys.com/is/image/MCY/9820981 ")</f>
        <v xml:space="preserve">http://slimages.macys.com/is/image/MCY/9820981 </v>
      </c>
    </row>
    <row r="196" spans="1:12" ht="24.75" x14ac:dyDescent="0.25">
      <c r="A196" s="6" t="s">
        <v>4115</v>
      </c>
      <c r="B196" s="3" t="s">
        <v>4100</v>
      </c>
      <c r="C196" s="4">
        <v>1</v>
      </c>
      <c r="D196" s="5">
        <v>29.99</v>
      </c>
      <c r="E196" s="4" t="s">
        <v>4101</v>
      </c>
      <c r="F196" s="3" t="s">
        <v>5661</v>
      </c>
      <c r="G196" s="7" t="s">
        <v>5598</v>
      </c>
      <c r="H196" s="3" t="s">
        <v>6608</v>
      </c>
      <c r="I196" s="3" t="s">
        <v>6609</v>
      </c>
      <c r="J196" s="3" t="s">
        <v>5536</v>
      </c>
      <c r="K196" s="3" t="s">
        <v>5594</v>
      </c>
      <c r="L196" s="8" t="str">
        <f>HYPERLINK("http://slimages.macys.com/is/image/MCY/14311874 ")</f>
        <v xml:space="preserve">http://slimages.macys.com/is/image/MCY/14311874 </v>
      </c>
    </row>
    <row r="197" spans="1:12" ht="24.75" x14ac:dyDescent="0.25">
      <c r="A197" s="6" t="s">
        <v>4116</v>
      </c>
      <c r="B197" s="3" t="s">
        <v>4113</v>
      </c>
      <c r="C197" s="4">
        <v>1</v>
      </c>
      <c r="D197" s="5">
        <v>29.99</v>
      </c>
      <c r="E197" s="4" t="s">
        <v>4114</v>
      </c>
      <c r="F197" s="3" t="s">
        <v>5552</v>
      </c>
      <c r="G197" s="7" t="s">
        <v>5562</v>
      </c>
      <c r="H197" s="3" t="s">
        <v>6608</v>
      </c>
      <c r="I197" s="3" t="s">
        <v>6609</v>
      </c>
      <c r="J197" s="3" t="s">
        <v>5536</v>
      </c>
      <c r="K197" s="3" t="s">
        <v>5594</v>
      </c>
      <c r="L197" s="8" t="str">
        <f>HYPERLINK("http://slimages.macys.com/is/image/MCY/9820981 ")</f>
        <v xml:space="preserve">http://slimages.macys.com/is/image/MCY/9820981 </v>
      </c>
    </row>
    <row r="198" spans="1:12" ht="24.75" x14ac:dyDescent="0.25">
      <c r="A198" s="6" t="s">
        <v>4117</v>
      </c>
      <c r="B198" s="3" t="s">
        <v>6244</v>
      </c>
      <c r="C198" s="4">
        <v>1</v>
      </c>
      <c r="D198" s="5">
        <v>39.99</v>
      </c>
      <c r="E198" s="4" t="s">
        <v>6245</v>
      </c>
      <c r="F198" s="3" t="s">
        <v>5532</v>
      </c>
      <c r="G198" s="7" t="s">
        <v>5596</v>
      </c>
      <c r="H198" s="3" t="s">
        <v>6065</v>
      </c>
      <c r="I198" s="3" t="s">
        <v>6066</v>
      </c>
      <c r="J198" s="3" t="s">
        <v>5536</v>
      </c>
      <c r="K198" s="3" t="s">
        <v>6242</v>
      </c>
      <c r="L198" s="8" t="str">
        <f>HYPERLINK("http://slimages.macys.com/is/image/MCY/11519449 ")</f>
        <v xml:space="preserve">http://slimages.macys.com/is/image/MCY/11519449 </v>
      </c>
    </row>
    <row r="199" spans="1:12" x14ac:dyDescent="0.25">
      <c r="A199" s="6" t="s">
        <v>4118</v>
      </c>
      <c r="B199" s="3" t="s">
        <v>4119</v>
      </c>
      <c r="C199" s="4">
        <v>1</v>
      </c>
      <c r="D199" s="5">
        <v>34.99</v>
      </c>
      <c r="E199" s="4" t="s">
        <v>4120</v>
      </c>
      <c r="F199" s="3" t="s">
        <v>6075</v>
      </c>
      <c r="G199" s="7" t="s">
        <v>5598</v>
      </c>
      <c r="H199" s="3" t="s">
        <v>6065</v>
      </c>
      <c r="I199" s="3" t="s">
        <v>6066</v>
      </c>
      <c r="J199" s="3" t="s">
        <v>5536</v>
      </c>
      <c r="K199" s="3" t="s">
        <v>5587</v>
      </c>
      <c r="L199" s="8" t="str">
        <f>HYPERLINK("http://slimages.macys.com/is/image/MCY/15859353 ")</f>
        <v xml:space="preserve">http://slimages.macys.com/is/image/MCY/15859353 </v>
      </c>
    </row>
    <row r="200" spans="1:12" x14ac:dyDescent="0.25">
      <c r="A200" s="6" t="s">
        <v>4121</v>
      </c>
      <c r="B200" s="3" t="s">
        <v>4119</v>
      </c>
      <c r="C200" s="4">
        <v>1</v>
      </c>
      <c r="D200" s="5">
        <v>34.99</v>
      </c>
      <c r="E200" s="4" t="s">
        <v>4120</v>
      </c>
      <c r="F200" s="3" t="s">
        <v>6075</v>
      </c>
      <c r="G200" s="7" t="s">
        <v>5596</v>
      </c>
      <c r="H200" s="3" t="s">
        <v>6065</v>
      </c>
      <c r="I200" s="3" t="s">
        <v>6066</v>
      </c>
      <c r="J200" s="3" t="s">
        <v>5536</v>
      </c>
      <c r="K200" s="3" t="s">
        <v>5587</v>
      </c>
      <c r="L200" s="8" t="str">
        <f>HYPERLINK("http://slimages.macys.com/is/image/MCY/15859353 ")</f>
        <v xml:space="preserve">http://slimages.macys.com/is/image/MCY/15859353 </v>
      </c>
    </row>
    <row r="201" spans="1:12" x14ac:dyDescent="0.25">
      <c r="A201" s="6" t="s">
        <v>4122</v>
      </c>
      <c r="B201" s="3" t="s">
        <v>4119</v>
      </c>
      <c r="C201" s="4">
        <v>1</v>
      </c>
      <c r="D201" s="5">
        <v>34.99</v>
      </c>
      <c r="E201" s="4" t="s">
        <v>4120</v>
      </c>
      <c r="F201" s="3" t="s">
        <v>5532</v>
      </c>
      <c r="G201" s="7" t="s">
        <v>5598</v>
      </c>
      <c r="H201" s="3" t="s">
        <v>6065</v>
      </c>
      <c r="I201" s="3" t="s">
        <v>6066</v>
      </c>
      <c r="J201" s="3" t="s">
        <v>5536</v>
      </c>
      <c r="K201" s="3" t="s">
        <v>5587</v>
      </c>
      <c r="L201" s="8" t="str">
        <f>HYPERLINK("http://slimages.macys.com/is/image/MCY/15859353 ")</f>
        <v xml:space="preserve">http://slimages.macys.com/is/image/MCY/15859353 </v>
      </c>
    </row>
    <row r="202" spans="1:12" x14ac:dyDescent="0.25">
      <c r="A202" s="6" t="s">
        <v>4123</v>
      </c>
      <c r="B202" s="3" t="s">
        <v>4124</v>
      </c>
      <c r="C202" s="4">
        <v>2</v>
      </c>
      <c r="D202" s="5">
        <v>79.98</v>
      </c>
      <c r="E202" s="4" t="s">
        <v>4125</v>
      </c>
      <c r="F202" s="3" t="s">
        <v>5532</v>
      </c>
      <c r="G202" s="7" t="s">
        <v>5533</v>
      </c>
      <c r="H202" s="3" t="s">
        <v>5978</v>
      </c>
      <c r="I202" s="3" t="s">
        <v>5979</v>
      </c>
      <c r="J202" s="3" t="s">
        <v>5536</v>
      </c>
      <c r="K202" s="3" t="s">
        <v>5594</v>
      </c>
      <c r="L202" s="8" t="str">
        <f>HYPERLINK("http://slimages.macys.com/is/image/MCY/16289386 ")</f>
        <v xml:space="preserve">http://slimages.macys.com/is/image/MCY/16289386 </v>
      </c>
    </row>
    <row r="203" spans="1:12" x14ac:dyDescent="0.25">
      <c r="A203" s="6" t="s">
        <v>4126</v>
      </c>
      <c r="B203" s="3" t="s">
        <v>4124</v>
      </c>
      <c r="C203" s="4">
        <v>1</v>
      </c>
      <c r="D203" s="5">
        <v>39.99</v>
      </c>
      <c r="E203" s="4" t="s">
        <v>4125</v>
      </c>
      <c r="F203" s="3" t="s">
        <v>5532</v>
      </c>
      <c r="G203" s="7" t="s">
        <v>5560</v>
      </c>
      <c r="H203" s="3" t="s">
        <v>5978</v>
      </c>
      <c r="I203" s="3" t="s">
        <v>5979</v>
      </c>
      <c r="J203" s="3" t="s">
        <v>5536</v>
      </c>
      <c r="K203" s="3" t="s">
        <v>5594</v>
      </c>
      <c r="L203" s="8" t="str">
        <f>HYPERLINK("http://slimages.macys.com/is/image/MCY/16289386 ")</f>
        <v xml:space="preserve">http://slimages.macys.com/is/image/MCY/16289386 </v>
      </c>
    </row>
    <row r="204" spans="1:12" x14ac:dyDescent="0.25">
      <c r="A204" s="6" t="s">
        <v>4127</v>
      </c>
      <c r="B204" s="3" t="s">
        <v>4124</v>
      </c>
      <c r="C204" s="4">
        <v>3</v>
      </c>
      <c r="D204" s="5">
        <v>119.97</v>
      </c>
      <c r="E204" s="4" t="s">
        <v>4125</v>
      </c>
      <c r="F204" s="3" t="s">
        <v>5532</v>
      </c>
      <c r="G204" s="7" t="s">
        <v>5562</v>
      </c>
      <c r="H204" s="3" t="s">
        <v>5978</v>
      </c>
      <c r="I204" s="3" t="s">
        <v>5979</v>
      </c>
      <c r="J204" s="3" t="s">
        <v>5536</v>
      </c>
      <c r="K204" s="3" t="s">
        <v>5594</v>
      </c>
      <c r="L204" s="8" t="str">
        <f>HYPERLINK("http://slimages.macys.com/is/image/MCY/16289386 ")</f>
        <v xml:space="preserve">http://slimages.macys.com/is/image/MCY/16289386 </v>
      </c>
    </row>
    <row r="205" spans="1:12" ht="24.75" x14ac:dyDescent="0.25">
      <c r="A205" s="6" t="s">
        <v>4128</v>
      </c>
      <c r="B205" s="3" t="s">
        <v>4129</v>
      </c>
      <c r="C205" s="4">
        <v>1</v>
      </c>
      <c r="D205" s="5">
        <v>21</v>
      </c>
      <c r="E205" s="4" t="s">
        <v>4130</v>
      </c>
      <c r="F205" s="3" t="s">
        <v>5540</v>
      </c>
      <c r="G205" s="7"/>
      <c r="H205" s="3" t="s">
        <v>5606</v>
      </c>
      <c r="I205" s="3" t="s">
        <v>6258</v>
      </c>
      <c r="J205" s="3" t="s">
        <v>5536</v>
      </c>
      <c r="K205" s="3" t="s">
        <v>5549</v>
      </c>
      <c r="L205" s="8" t="str">
        <f>HYPERLINK("http://slimages.macys.com/is/image/MCY/12724429 ")</f>
        <v xml:space="preserve">http://slimages.macys.com/is/image/MCY/12724429 </v>
      </c>
    </row>
    <row r="206" spans="1:12" ht="24.75" x14ac:dyDescent="0.25">
      <c r="A206" s="6" t="s">
        <v>4131</v>
      </c>
      <c r="B206" s="3" t="s">
        <v>4132</v>
      </c>
      <c r="C206" s="4">
        <v>1</v>
      </c>
      <c r="D206" s="5">
        <v>24.99</v>
      </c>
      <c r="E206" s="4" t="s">
        <v>4133</v>
      </c>
      <c r="F206" s="3" t="s">
        <v>6075</v>
      </c>
      <c r="G206" s="7"/>
      <c r="H206" s="3" t="s">
        <v>5899</v>
      </c>
      <c r="I206" s="3" t="s">
        <v>4134</v>
      </c>
      <c r="J206" s="3" t="s">
        <v>5536</v>
      </c>
      <c r="K206" s="3" t="s">
        <v>4135</v>
      </c>
      <c r="L206" s="8" t="str">
        <f>HYPERLINK("http://slimages.macys.com/is/image/MCY/14332443 ")</f>
        <v xml:space="preserve">http://slimages.macys.com/is/image/MCY/14332443 </v>
      </c>
    </row>
    <row r="207" spans="1:12" x14ac:dyDescent="0.25">
      <c r="A207" s="6" t="s">
        <v>4136</v>
      </c>
      <c r="B207" s="3" t="s">
        <v>4137</v>
      </c>
      <c r="C207" s="4">
        <v>1</v>
      </c>
      <c r="D207" s="5">
        <v>65</v>
      </c>
      <c r="E207" s="4">
        <v>100082443</v>
      </c>
      <c r="F207" s="3" t="s">
        <v>5783</v>
      </c>
      <c r="G207" s="7" t="s">
        <v>5596</v>
      </c>
      <c r="H207" s="3" t="s">
        <v>5585</v>
      </c>
      <c r="I207" s="3" t="s">
        <v>5586</v>
      </c>
      <c r="J207" s="3" t="s">
        <v>5536</v>
      </c>
      <c r="K207" s="3" t="s">
        <v>5594</v>
      </c>
      <c r="L207" s="8" t="str">
        <f>HYPERLINK("http://slimages.macys.com/is/image/MCY/15270664 ")</f>
        <v xml:space="preserve">http://slimages.macys.com/is/image/MCY/15270664 </v>
      </c>
    </row>
    <row r="208" spans="1:12" ht="36.75" x14ac:dyDescent="0.25">
      <c r="A208" s="6" t="s">
        <v>4138</v>
      </c>
      <c r="B208" s="3" t="s">
        <v>4139</v>
      </c>
      <c r="C208" s="4">
        <v>2</v>
      </c>
      <c r="D208" s="5">
        <v>50</v>
      </c>
      <c r="E208" s="4" t="s">
        <v>4140</v>
      </c>
      <c r="F208" s="3" t="s">
        <v>5661</v>
      </c>
      <c r="G208" s="7" t="s">
        <v>6252</v>
      </c>
      <c r="H208" s="3" t="s">
        <v>4141</v>
      </c>
      <c r="I208" s="3" t="s">
        <v>6800</v>
      </c>
      <c r="J208" s="3" t="s">
        <v>5536</v>
      </c>
      <c r="K208" s="3" t="s">
        <v>4142</v>
      </c>
      <c r="L208" s="8" t="str">
        <f>HYPERLINK("http://slimages.macys.com/is/image/MCY/15344231 ")</f>
        <v xml:space="preserve">http://slimages.macys.com/is/image/MCY/15344231 </v>
      </c>
    </row>
    <row r="209" spans="1:12" ht="24.75" x14ac:dyDescent="0.25">
      <c r="A209" s="6" t="s">
        <v>4143</v>
      </c>
      <c r="B209" s="3" t="s">
        <v>4144</v>
      </c>
      <c r="C209" s="4">
        <v>1</v>
      </c>
      <c r="D209" s="5">
        <v>34.99</v>
      </c>
      <c r="E209" s="4" t="s">
        <v>4145</v>
      </c>
      <c r="F209" s="3" t="s">
        <v>5745</v>
      </c>
      <c r="G209" s="7" t="s">
        <v>5560</v>
      </c>
      <c r="H209" s="3" t="s">
        <v>6065</v>
      </c>
      <c r="I209" s="3" t="s">
        <v>6066</v>
      </c>
      <c r="J209" s="3" t="s">
        <v>5536</v>
      </c>
      <c r="K209" s="3" t="s">
        <v>6021</v>
      </c>
      <c r="L209" s="8" t="str">
        <f>HYPERLINK("http://slimages.macys.com/is/image/MCY/11666852 ")</f>
        <v xml:space="preserve">http://slimages.macys.com/is/image/MCY/11666852 </v>
      </c>
    </row>
    <row r="210" spans="1:12" ht="24.75" x14ac:dyDescent="0.25">
      <c r="A210" s="6" t="s">
        <v>4146</v>
      </c>
      <c r="B210" s="3" t="s">
        <v>4144</v>
      </c>
      <c r="C210" s="4">
        <v>1</v>
      </c>
      <c r="D210" s="5">
        <v>34.99</v>
      </c>
      <c r="E210" s="4" t="s">
        <v>4145</v>
      </c>
      <c r="F210" s="3" t="s">
        <v>5745</v>
      </c>
      <c r="G210" s="7" t="s">
        <v>5598</v>
      </c>
      <c r="H210" s="3" t="s">
        <v>6065</v>
      </c>
      <c r="I210" s="3" t="s">
        <v>6066</v>
      </c>
      <c r="J210" s="3" t="s">
        <v>5536</v>
      </c>
      <c r="K210" s="3" t="s">
        <v>6021</v>
      </c>
      <c r="L210" s="8" t="str">
        <f>HYPERLINK("http://slimages.macys.com/is/image/MCY/11666852 ")</f>
        <v xml:space="preserve">http://slimages.macys.com/is/image/MCY/11666852 </v>
      </c>
    </row>
    <row r="211" spans="1:12" ht="24.75" x14ac:dyDescent="0.25">
      <c r="A211" s="6" t="s">
        <v>4147</v>
      </c>
      <c r="B211" s="3" t="s">
        <v>4144</v>
      </c>
      <c r="C211" s="4">
        <v>1</v>
      </c>
      <c r="D211" s="5">
        <v>34.99</v>
      </c>
      <c r="E211" s="4" t="s">
        <v>4145</v>
      </c>
      <c r="F211" s="3" t="s">
        <v>5745</v>
      </c>
      <c r="G211" s="7" t="s">
        <v>5596</v>
      </c>
      <c r="H211" s="3" t="s">
        <v>6065</v>
      </c>
      <c r="I211" s="3" t="s">
        <v>6066</v>
      </c>
      <c r="J211" s="3" t="s">
        <v>5536</v>
      </c>
      <c r="K211" s="3" t="s">
        <v>6021</v>
      </c>
      <c r="L211" s="8" t="str">
        <f>HYPERLINK("http://slimages.macys.com/is/image/MCY/11666852 ")</f>
        <v xml:space="preserve">http://slimages.macys.com/is/image/MCY/11666852 </v>
      </c>
    </row>
    <row r="212" spans="1:12" ht="24.75" x14ac:dyDescent="0.25">
      <c r="A212" s="6" t="s">
        <v>4148</v>
      </c>
      <c r="B212" s="3" t="s">
        <v>6337</v>
      </c>
      <c r="C212" s="4">
        <v>1</v>
      </c>
      <c r="D212" s="5">
        <v>28</v>
      </c>
      <c r="E212" s="4">
        <v>87994403</v>
      </c>
      <c r="F212" s="3" t="s">
        <v>5754</v>
      </c>
      <c r="G212" s="7" t="s">
        <v>5898</v>
      </c>
      <c r="H212" s="3" t="s">
        <v>6280</v>
      </c>
      <c r="I212" s="3" t="s">
        <v>6281</v>
      </c>
      <c r="J212" s="3" t="s">
        <v>5536</v>
      </c>
      <c r="K212" s="3" t="s">
        <v>6338</v>
      </c>
      <c r="L212" s="8" t="str">
        <f>HYPERLINK("http://slimages.macys.com/is/image/MCY/15882927 ")</f>
        <v xml:space="preserve">http://slimages.macys.com/is/image/MCY/15882927 </v>
      </c>
    </row>
    <row r="213" spans="1:12" ht="24.75" x14ac:dyDescent="0.25">
      <c r="A213" s="6" t="s">
        <v>4149</v>
      </c>
      <c r="B213" s="3" t="s">
        <v>6279</v>
      </c>
      <c r="C213" s="4">
        <v>1</v>
      </c>
      <c r="D213" s="5">
        <v>28</v>
      </c>
      <c r="E213" s="4">
        <v>87594201</v>
      </c>
      <c r="F213" s="3" t="s">
        <v>5552</v>
      </c>
      <c r="G213" s="7" t="s">
        <v>5898</v>
      </c>
      <c r="H213" s="3" t="s">
        <v>6280</v>
      </c>
      <c r="I213" s="3" t="s">
        <v>6281</v>
      </c>
      <c r="J213" s="3" t="s">
        <v>5536</v>
      </c>
      <c r="K213" s="3" t="s">
        <v>5549</v>
      </c>
      <c r="L213" s="8" t="str">
        <f>HYPERLINK("http://slimages.macys.com/is/image/MCY/15882915 ")</f>
        <v xml:space="preserve">http://slimages.macys.com/is/image/MCY/15882915 </v>
      </c>
    </row>
    <row r="214" spans="1:12" ht="24.75" x14ac:dyDescent="0.25">
      <c r="A214" s="6" t="s">
        <v>6336</v>
      </c>
      <c r="B214" s="3" t="s">
        <v>6337</v>
      </c>
      <c r="C214" s="4">
        <v>1</v>
      </c>
      <c r="D214" s="5">
        <v>28</v>
      </c>
      <c r="E214" s="4">
        <v>87994403</v>
      </c>
      <c r="F214" s="3" t="s">
        <v>5532</v>
      </c>
      <c r="G214" s="7" t="s">
        <v>5898</v>
      </c>
      <c r="H214" s="3" t="s">
        <v>6280</v>
      </c>
      <c r="I214" s="3" t="s">
        <v>6281</v>
      </c>
      <c r="J214" s="3" t="s">
        <v>5536</v>
      </c>
      <c r="K214" s="3" t="s">
        <v>6338</v>
      </c>
      <c r="L214" s="8" t="str">
        <f>HYPERLINK("http://slimages.macys.com/is/image/MCY/15882927 ")</f>
        <v xml:space="preserve">http://slimages.macys.com/is/image/MCY/15882927 </v>
      </c>
    </row>
    <row r="215" spans="1:12" ht="24.75" x14ac:dyDescent="0.25">
      <c r="A215" s="6" t="s">
        <v>4150</v>
      </c>
      <c r="B215" s="3" t="s">
        <v>6294</v>
      </c>
      <c r="C215" s="4">
        <v>1</v>
      </c>
      <c r="D215" s="5">
        <v>28</v>
      </c>
      <c r="E215" s="4">
        <v>87994402</v>
      </c>
      <c r="F215" s="3" t="s">
        <v>6275</v>
      </c>
      <c r="G215" s="7" t="s">
        <v>5898</v>
      </c>
      <c r="H215" s="3" t="s">
        <v>6280</v>
      </c>
      <c r="I215" s="3" t="s">
        <v>6281</v>
      </c>
      <c r="J215" s="3" t="s">
        <v>5536</v>
      </c>
      <c r="K215" s="3" t="s">
        <v>6295</v>
      </c>
      <c r="L215" s="8" t="str">
        <f>HYPERLINK("http://slimages.macys.com/is/image/MCY/15884038 ")</f>
        <v xml:space="preserve">http://slimages.macys.com/is/image/MCY/15884038 </v>
      </c>
    </row>
    <row r="216" spans="1:12" ht="24.75" x14ac:dyDescent="0.25">
      <c r="A216" s="6" t="s">
        <v>4151</v>
      </c>
      <c r="B216" s="3" t="s">
        <v>6294</v>
      </c>
      <c r="C216" s="4">
        <v>1</v>
      </c>
      <c r="D216" s="5">
        <v>28</v>
      </c>
      <c r="E216" s="4">
        <v>87994402</v>
      </c>
      <c r="F216" s="3" t="s">
        <v>5754</v>
      </c>
      <c r="G216" s="7" t="s">
        <v>5898</v>
      </c>
      <c r="H216" s="3" t="s">
        <v>6280</v>
      </c>
      <c r="I216" s="3" t="s">
        <v>6281</v>
      </c>
      <c r="J216" s="3" t="s">
        <v>5536</v>
      </c>
      <c r="K216" s="3" t="s">
        <v>6295</v>
      </c>
      <c r="L216" s="8" t="str">
        <f>HYPERLINK("http://slimages.macys.com/is/image/MCY/15884038 ")</f>
        <v xml:space="preserve">http://slimages.macys.com/is/image/MCY/15884038 </v>
      </c>
    </row>
    <row r="217" spans="1:12" ht="24.75" x14ac:dyDescent="0.25">
      <c r="A217" s="6" t="s">
        <v>6278</v>
      </c>
      <c r="B217" s="3" t="s">
        <v>6279</v>
      </c>
      <c r="C217" s="4">
        <v>1</v>
      </c>
      <c r="D217" s="5">
        <v>28</v>
      </c>
      <c r="E217" s="4">
        <v>87594201</v>
      </c>
      <c r="F217" s="3" t="s">
        <v>5532</v>
      </c>
      <c r="G217" s="7" t="s">
        <v>5898</v>
      </c>
      <c r="H217" s="3" t="s">
        <v>6280</v>
      </c>
      <c r="I217" s="3" t="s">
        <v>6281</v>
      </c>
      <c r="J217" s="3" t="s">
        <v>5536</v>
      </c>
      <c r="K217" s="3" t="s">
        <v>5549</v>
      </c>
      <c r="L217" s="8" t="str">
        <f>HYPERLINK("http://slimages.macys.com/is/image/MCY/15882915 ")</f>
        <v xml:space="preserve">http://slimages.macys.com/is/image/MCY/15882915 </v>
      </c>
    </row>
    <row r="218" spans="1:12" ht="24.75" x14ac:dyDescent="0.25">
      <c r="A218" s="6" t="s">
        <v>4152</v>
      </c>
      <c r="B218" s="3" t="s">
        <v>6315</v>
      </c>
      <c r="C218" s="4">
        <v>1</v>
      </c>
      <c r="D218" s="5">
        <v>28</v>
      </c>
      <c r="E218" s="4">
        <v>87994301</v>
      </c>
      <c r="F218" s="3" t="s">
        <v>5610</v>
      </c>
      <c r="G218" s="7" t="s">
        <v>5898</v>
      </c>
      <c r="H218" s="3" t="s">
        <v>6280</v>
      </c>
      <c r="I218" s="3" t="s">
        <v>6281</v>
      </c>
      <c r="J218" s="3" t="s">
        <v>5536</v>
      </c>
      <c r="K218" s="3" t="s">
        <v>6316</v>
      </c>
      <c r="L218" s="8" t="str">
        <f>HYPERLINK("http://slimages.macys.com/is/image/MCY/15883995 ")</f>
        <v xml:space="preserve">http://slimages.macys.com/is/image/MCY/15883995 </v>
      </c>
    </row>
    <row r="219" spans="1:12" ht="24.75" x14ac:dyDescent="0.25">
      <c r="A219" s="6" t="s">
        <v>6282</v>
      </c>
      <c r="B219" s="3" t="s">
        <v>6283</v>
      </c>
      <c r="C219" s="4">
        <v>1</v>
      </c>
      <c r="D219" s="5">
        <v>28</v>
      </c>
      <c r="E219" s="4">
        <v>81994507</v>
      </c>
      <c r="F219" s="3" t="s">
        <v>5532</v>
      </c>
      <c r="G219" s="7" t="s">
        <v>5898</v>
      </c>
      <c r="H219" s="3" t="s">
        <v>6280</v>
      </c>
      <c r="I219" s="3" t="s">
        <v>6281</v>
      </c>
      <c r="J219" s="3" t="s">
        <v>5536</v>
      </c>
      <c r="K219" s="3" t="s">
        <v>6284</v>
      </c>
      <c r="L219" s="8" t="str">
        <f>HYPERLINK("http://slimages.macys.com/is/image/MCY/15882899 ")</f>
        <v xml:space="preserve">http://slimages.macys.com/is/image/MCY/15882899 </v>
      </c>
    </row>
    <row r="220" spans="1:12" ht="24.75" x14ac:dyDescent="0.25">
      <c r="A220" s="6" t="s">
        <v>4153</v>
      </c>
      <c r="B220" s="3" t="s">
        <v>6294</v>
      </c>
      <c r="C220" s="4">
        <v>1</v>
      </c>
      <c r="D220" s="5">
        <v>28</v>
      </c>
      <c r="E220" s="4">
        <v>87994402</v>
      </c>
      <c r="F220" s="3" t="s">
        <v>5532</v>
      </c>
      <c r="G220" s="7" t="s">
        <v>5898</v>
      </c>
      <c r="H220" s="3" t="s">
        <v>6280</v>
      </c>
      <c r="I220" s="3" t="s">
        <v>6281</v>
      </c>
      <c r="J220" s="3" t="s">
        <v>5536</v>
      </c>
      <c r="K220" s="3" t="s">
        <v>6295</v>
      </c>
      <c r="L220" s="8" t="str">
        <f>HYPERLINK("http://slimages.macys.com/is/image/MCY/15884038 ")</f>
        <v xml:space="preserve">http://slimages.macys.com/is/image/MCY/15884038 </v>
      </c>
    </row>
    <row r="221" spans="1:12" ht="24.75" x14ac:dyDescent="0.25">
      <c r="A221" s="6" t="s">
        <v>4154</v>
      </c>
      <c r="B221" s="3" t="s">
        <v>4155</v>
      </c>
      <c r="C221" s="4">
        <v>2</v>
      </c>
      <c r="D221" s="5">
        <v>56</v>
      </c>
      <c r="E221" s="4" t="s">
        <v>4156</v>
      </c>
      <c r="F221" s="3" t="s">
        <v>6335</v>
      </c>
      <c r="G221" s="7" t="s">
        <v>5898</v>
      </c>
      <c r="H221" s="3" t="s">
        <v>6280</v>
      </c>
      <c r="I221" s="3" t="s">
        <v>6312</v>
      </c>
      <c r="J221" s="3" t="s">
        <v>5536</v>
      </c>
      <c r="K221" s="3" t="s">
        <v>4157</v>
      </c>
      <c r="L221" s="8" t="str">
        <f>HYPERLINK("http://slimages.macys.com/is/image/MCY/15440064 ")</f>
        <v xml:space="preserve">http://slimages.macys.com/is/image/MCY/15440064 </v>
      </c>
    </row>
    <row r="222" spans="1:12" ht="24.75" x14ac:dyDescent="0.25">
      <c r="A222" s="6" t="s">
        <v>4158</v>
      </c>
      <c r="B222" s="3" t="s">
        <v>4159</v>
      </c>
      <c r="C222" s="4">
        <v>1</v>
      </c>
      <c r="D222" s="5">
        <v>28</v>
      </c>
      <c r="E222" s="4" t="s">
        <v>4160</v>
      </c>
      <c r="F222" s="3" t="s">
        <v>6335</v>
      </c>
      <c r="G222" s="7" t="s">
        <v>5898</v>
      </c>
      <c r="H222" s="3" t="s">
        <v>6280</v>
      </c>
      <c r="I222" s="3" t="s">
        <v>6312</v>
      </c>
      <c r="J222" s="3" t="s">
        <v>5536</v>
      </c>
      <c r="K222" s="3" t="s">
        <v>6295</v>
      </c>
      <c r="L222" s="8" t="str">
        <f>HYPERLINK("http://slimages.macys.com/is/image/MCY/15882734 ")</f>
        <v xml:space="preserve">http://slimages.macys.com/is/image/MCY/15882734 </v>
      </c>
    </row>
    <row r="223" spans="1:12" ht="24.75" x14ac:dyDescent="0.25">
      <c r="A223" s="6" t="s">
        <v>4161</v>
      </c>
      <c r="B223" s="3" t="s">
        <v>4162</v>
      </c>
      <c r="C223" s="4">
        <v>1</v>
      </c>
      <c r="D223" s="5">
        <v>28</v>
      </c>
      <c r="E223" s="4" t="s">
        <v>4163</v>
      </c>
      <c r="F223" s="3" t="s">
        <v>5566</v>
      </c>
      <c r="G223" s="7" t="s">
        <v>5898</v>
      </c>
      <c r="H223" s="3" t="s">
        <v>6280</v>
      </c>
      <c r="I223" s="3" t="s">
        <v>6312</v>
      </c>
      <c r="J223" s="3" t="s">
        <v>5536</v>
      </c>
      <c r="K223" s="3" t="s">
        <v>6338</v>
      </c>
      <c r="L223" s="8" t="str">
        <f>HYPERLINK("http://slimages.macys.com/is/image/MCY/15439897 ")</f>
        <v xml:space="preserve">http://slimages.macys.com/is/image/MCY/15439897 </v>
      </c>
    </row>
    <row r="224" spans="1:12" ht="24.75" x14ac:dyDescent="0.25">
      <c r="A224" s="6" t="s">
        <v>4164</v>
      </c>
      <c r="B224" s="3" t="s">
        <v>4159</v>
      </c>
      <c r="C224" s="4">
        <v>1</v>
      </c>
      <c r="D224" s="5">
        <v>28</v>
      </c>
      <c r="E224" s="4" t="s">
        <v>4160</v>
      </c>
      <c r="F224" s="3" t="s">
        <v>5532</v>
      </c>
      <c r="G224" s="7" t="s">
        <v>5898</v>
      </c>
      <c r="H224" s="3" t="s">
        <v>6280</v>
      </c>
      <c r="I224" s="3" t="s">
        <v>6312</v>
      </c>
      <c r="J224" s="3" t="s">
        <v>5536</v>
      </c>
      <c r="K224" s="3" t="s">
        <v>6295</v>
      </c>
      <c r="L224" s="8" t="str">
        <f>HYPERLINK("http://slimages.macys.com/is/image/MCY/15882734 ")</f>
        <v xml:space="preserve">http://slimages.macys.com/is/image/MCY/15882734 </v>
      </c>
    </row>
    <row r="225" spans="1:12" ht="24.75" x14ac:dyDescent="0.25">
      <c r="A225" s="6" t="s">
        <v>4165</v>
      </c>
      <c r="B225" s="3" t="s">
        <v>4166</v>
      </c>
      <c r="C225" s="4">
        <v>1</v>
      </c>
      <c r="D225" s="5">
        <v>28</v>
      </c>
      <c r="E225" s="4" t="s">
        <v>4167</v>
      </c>
      <c r="F225" s="3" t="s">
        <v>5532</v>
      </c>
      <c r="G225" s="7" t="s">
        <v>5898</v>
      </c>
      <c r="H225" s="3" t="s">
        <v>6280</v>
      </c>
      <c r="I225" s="3" t="s">
        <v>6312</v>
      </c>
      <c r="J225" s="3" t="s">
        <v>5536</v>
      </c>
      <c r="K225" s="3" t="s">
        <v>6303</v>
      </c>
      <c r="L225" s="8" t="str">
        <f>HYPERLINK("http://slimages.macys.com/is/image/MCY/15346508 ")</f>
        <v xml:space="preserve">http://slimages.macys.com/is/image/MCY/15346508 </v>
      </c>
    </row>
    <row r="226" spans="1:12" ht="24.75" x14ac:dyDescent="0.25">
      <c r="A226" s="6" t="s">
        <v>4168</v>
      </c>
      <c r="B226" s="3" t="s">
        <v>4169</v>
      </c>
      <c r="C226" s="4">
        <v>1</v>
      </c>
      <c r="D226" s="5">
        <v>28</v>
      </c>
      <c r="E226" s="4" t="s">
        <v>4170</v>
      </c>
      <c r="F226" s="3" t="s">
        <v>5793</v>
      </c>
      <c r="G226" s="7" t="s">
        <v>5898</v>
      </c>
      <c r="H226" s="3" t="s">
        <v>6280</v>
      </c>
      <c r="I226" s="3" t="s">
        <v>6312</v>
      </c>
      <c r="J226" s="3" t="s">
        <v>5536</v>
      </c>
      <c r="K226" s="3" t="s">
        <v>6303</v>
      </c>
      <c r="L226" s="8" t="str">
        <f>HYPERLINK("http://slimages.macys.com/is/image/MCY/9249530 ")</f>
        <v xml:space="preserve">http://slimages.macys.com/is/image/MCY/9249530 </v>
      </c>
    </row>
    <row r="227" spans="1:12" ht="24.75" x14ac:dyDescent="0.25">
      <c r="A227" s="6" t="s">
        <v>6393</v>
      </c>
      <c r="B227" s="3" t="s">
        <v>6315</v>
      </c>
      <c r="C227" s="4">
        <v>1</v>
      </c>
      <c r="D227" s="5">
        <v>28</v>
      </c>
      <c r="E227" s="4">
        <v>87994301</v>
      </c>
      <c r="F227" s="3" t="s">
        <v>5661</v>
      </c>
      <c r="G227" s="7" t="s">
        <v>5898</v>
      </c>
      <c r="H227" s="3" t="s">
        <v>6280</v>
      </c>
      <c r="I227" s="3" t="s">
        <v>6281</v>
      </c>
      <c r="J227" s="3" t="s">
        <v>5536</v>
      </c>
      <c r="K227" s="3" t="s">
        <v>6316</v>
      </c>
      <c r="L227" s="8" t="str">
        <f>HYPERLINK("http://slimages.macys.com/is/image/MCY/15883995 ")</f>
        <v xml:space="preserve">http://slimages.macys.com/is/image/MCY/15883995 </v>
      </c>
    </row>
    <row r="228" spans="1:12" ht="24.75" x14ac:dyDescent="0.25">
      <c r="A228" s="6" t="s">
        <v>6339</v>
      </c>
      <c r="B228" s="3" t="s">
        <v>6279</v>
      </c>
      <c r="C228" s="4">
        <v>1</v>
      </c>
      <c r="D228" s="5">
        <v>28</v>
      </c>
      <c r="E228" s="4">
        <v>87594201</v>
      </c>
      <c r="F228" s="3" t="s">
        <v>5532</v>
      </c>
      <c r="G228" s="7" t="s">
        <v>5898</v>
      </c>
      <c r="H228" s="3" t="s">
        <v>6280</v>
      </c>
      <c r="I228" s="3" t="s">
        <v>6281</v>
      </c>
      <c r="J228" s="3" t="s">
        <v>5536</v>
      </c>
      <c r="K228" s="3" t="s">
        <v>5549</v>
      </c>
      <c r="L228" s="8" t="str">
        <f>HYPERLINK("http://slimages.macys.com/is/image/MCY/15882915 ")</f>
        <v xml:space="preserve">http://slimages.macys.com/is/image/MCY/15882915 </v>
      </c>
    </row>
    <row r="229" spans="1:12" ht="24.75" x14ac:dyDescent="0.25">
      <c r="A229" s="6" t="s">
        <v>4171</v>
      </c>
      <c r="B229" s="3" t="s">
        <v>4172</v>
      </c>
      <c r="C229" s="4">
        <v>1</v>
      </c>
      <c r="D229" s="5">
        <v>28</v>
      </c>
      <c r="E229" s="4">
        <v>87594611</v>
      </c>
      <c r="F229" s="3" t="s">
        <v>5815</v>
      </c>
      <c r="G229" s="7" t="s">
        <v>5898</v>
      </c>
      <c r="H229" s="3" t="s">
        <v>6280</v>
      </c>
      <c r="I229" s="3" t="s">
        <v>6281</v>
      </c>
      <c r="J229" s="3" t="s">
        <v>5536</v>
      </c>
      <c r="K229" s="3" t="s">
        <v>6295</v>
      </c>
      <c r="L229" s="8" t="str">
        <f>HYPERLINK("http://slimages.macys.com/is/image/MCY/15883965 ")</f>
        <v xml:space="preserve">http://slimages.macys.com/is/image/MCY/15883965 </v>
      </c>
    </row>
    <row r="230" spans="1:12" ht="24.75" x14ac:dyDescent="0.25">
      <c r="A230" s="6" t="s">
        <v>6345</v>
      </c>
      <c r="B230" s="3" t="s">
        <v>6341</v>
      </c>
      <c r="C230" s="4">
        <v>1</v>
      </c>
      <c r="D230" s="5">
        <v>28</v>
      </c>
      <c r="E230" s="4">
        <v>87994201</v>
      </c>
      <c r="F230" s="3" t="s">
        <v>5532</v>
      </c>
      <c r="G230" s="7" t="s">
        <v>5898</v>
      </c>
      <c r="H230" s="3" t="s">
        <v>6280</v>
      </c>
      <c r="I230" s="3" t="s">
        <v>6281</v>
      </c>
      <c r="J230" s="3" t="s">
        <v>5536</v>
      </c>
      <c r="K230" s="3" t="s">
        <v>6342</v>
      </c>
      <c r="L230" s="8" t="str">
        <f>HYPERLINK("http://slimages.macys.com/is/image/MCY/15147424 ")</f>
        <v xml:space="preserve">http://slimages.macys.com/is/image/MCY/15147424 </v>
      </c>
    </row>
    <row r="231" spans="1:12" ht="24.75" x14ac:dyDescent="0.25">
      <c r="A231" s="6" t="s">
        <v>6354</v>
      </c>
      <c r="B231" s="3" t="s">
        <v>6294</v>
      </c>
      <c r="C231" s="4">
        <v>1</v>
      </c>
      <c r="D231" s="5">
        <v>28</v>
      </c>
      <c r="E231" s="4">
        <v>87994402</v>
      </c>
      <c r="F231" s="3" t="s">
        <v>5793</v>
      </c>
      <c r="G231" s="7" t="s">
        <v>5898</v>
      </c>
      <c r="H231" s="3" t="s">
        <v>6280</v>
      </c>
      <c r="I231" s="3" t="s">
        <v>6281</v>
      </c>
      <c r="J231" s="3" t="s">
        <v>5536</v>
      </c>
      <c r="K231" s="3" t="s">
        <v>6295</v>
      </c>
      <c r="L231" s="8" t="str">
        <f>HYPERLINK("http://slimages.macys.com/is/image/MCY/15884038 ")</f>
        <v xml:space="preserve">http://slimages.macys.com/is/image/MCY/15884038 </v>
      </c>
    </row>
    <row r="232" spans="1:12" ht="24.75" x14ac:dyDescent="0.25">
      <c r="A232" s="6" t="s">
        <v>4173</v>
      </c>
      <c r="B232" s="3" t="s">
        <v>4174</v>
      </c>
      <c r="C232" s="4">
        <v>1</v>
      </c>
      <c r="D232" s="5">
        <v>28</v>
      </c>
      <c r="E232" s="4" t="s">
        <v>4175</v>
      </c>
      <c r="F232" s="3" t="s">
        <v>5532</v>
      </c>
      <c r="G232" s="7" t="s">
        <v>5898</v>
      </c>
      <c r="H232" s="3" t="s">
        <v>6280</v>
      </c>
      <c r="I232" s="3" t="s">
        <v>6312</v>
      </c>
      <c r="J232" s="3" t="s">
        <v>5536</v>
      </c>
      <c r="K232" s="3" t="s">
        <v>6295</v>
      </c>
      <c r="L232" s="8" t="str">
        <f>HYPERLINK("http://slimages.macys.com/is/image/MCY/15882728 ")</f>
        <v xml:space="preserve">http://slimages.macys.com/is/image/MCY/15882728 </v>
      </c>
    </row>
    <row r="233" spans="1:12" ht="24.75" x14ac:dyDescent="0.25">
      <c r="A233" s="6" t="s">
        <v>4176</v>
      </c>
      <c r="B233" s="3" t="s">
        <v>4166</v>
      </c>
      <c r="C233" s="4">
        <v>1</v>
      </c>
      <c r="D233" s="5">
        <v>28</v>
      </c>
      <c r="E233" s="4" t="s">
        <v>4167</v>
      </c>
      <c r="F233" s="3" t="s">
        <v>5540</v>
      </c>
      <c r="G233" s="7" t="s">
        <v>5898</v>
      </c>
      <c r="H233" s="3" t="s">
        <v>6280</v>
      </c>
      <c r="I233" s="3" t="s">
        <v>6312</v>
      </c>
      <c r="J233" s="3" t="s">
        <v>5536</v>
      </c>
      <c r="K233" s="3" t="s">
        <v>6303</v>
      </c>
      <c r="L233" s="8" t="str">
        <f>HYPERLINK("http://slimages.macys.com/is/image/MCY/15346508 ")</f>
        <v xml:space="preserve">http://slimages.macys.com/is/image/MCY/15346508 </v>
      </c>
    </row>
    <row r="234" spans="1:12" ht="24.75" x14ac:dyDescent="0.25">
      <c r="A234" s="6" t="s">
        <v>4177</v>
      </c>
      <c r="B234" s="3" t="s">
        <v>4178</v>
      </c>
      <c r="C234" s="4">
        <v>1</v>
      </c>
      <c r="D234" s="5">
        <v>28</v>
      </c>
      <c r="E234" s="4" t="s">
        <v>4179</v>
      </c>
      <c r="F234" s="3" t="s">
        <v>5540</v>
      </c>
      <c r="G234" s="7" t="s">
        <v>5898</v>
      </c>
      <c r="H234" s="3" t="s">
        <v>6280</v>
      </c>
      <c r="I234" s="3" t="s">
        <v>6312</v>
      </c>
      <c r="J234" s="3" t="s">
        <v>5536</v>
      </c>
      <c r="K234" s="3" t="s">
        <v>6338</v>
      </c>
      <c r="L234" s="8" t="str">
        <f>HYPERLINK("http://slimages.macys.com/is/image/MCY/15917347 ")</f>
        <v xml:space="preserve">http://slimages.macys.com/is/image/MCY/15917347 </v>
      </c>
    </row>
    <row r="235" spans="1:12" ht="24.75" x14ac:dyDescent="0.25">
      <c r="A235" s="6" t="s">
        <v>4180</v>
      </c>
      <c r="B235" s="3" t="s">
        <v>4181</v>
      </c>
      <c r="C235" s="4">
        <v>1</v>
      </c>
      <c r="D235" s="5">
        <v>28</v>
      </c>
      <c r="E235" s="4">
        <v>87594501</v>
      </c>
      <c r="F235" s="3" t="s">
        <v>5754</v>
      </c>
      <c r="G235" s="7" t="s">
        <v>5898</v>
      </c>
      <c r="H235" s="3" t="s">
        <v>6280</v>
      </c>
      <c r="I235" s="3" t="s">
        <v>6281</v>
      </c>
      <c r="J235" s="3" t="s">
        <v>5536</v>
      </c>
      <c r="K235" s="3" t="s">
        <v>5549</v>
      </c>
      <c r="L235" s="8" t="str">
        <f>HYPERLINK("http://slimages.macys.com/is/image/MCY/15883959 ")</f>
        <v xml:space="preserve">http://slimages.macys.com/is/image/MCY/15883959 </v>
      </c>
    </row>
    <row r="236" spans="1:12" ht="24.75" x14ac:dyDescent="0.25">
      <c r="A236" s="6" t="s">
        <v>4182</v>
      </c>
      <c r="B236" s="3" t="s">
        <v>6315</v>
      </c>
      <c r="C236" s="4">
        <v>1</v>
      </c>
      <c r="D236" s="5">
        <v>28</v>
      </c>
      <c r="E236" s="4">
        <v>87994301</v>
      </c>
      <c r="F236" s="3" t="s">
        <v>5552</v>
      </c>
      <c r="G236" s="7" t="s">
        <v>5898</v>
      </c>
      <c r="H236" s="3" t="s">
        <v>6280</v>
      </c>
      <c r="I236" s="3" t="s">
        <v>6281</v>
      </c>
      <c r="J236" s="3" t="s">
        <v>5536</v>
      </c>
      <c r="K236" s="3" t="s">
        <v>6316</v>
      </c>
      <c r="L236" s="8" t="str">
        <f>HYPERLINK("http://slimages.macys.com/is/image/MCY/15883995 ")</f>
        <v xml:space="preserve">http://slimages.macys.com/is/image/MCY/15883995 </v>
      </c>
    </row>
    <row r="237" spans="1:12" ht="24.75" x14ac:dyDescent="0.25">
      <c r="A237" s="6" t="s">
        <v>4183</v>
      </c>
      <c r="B237" s="3" t="s">
        <v>6283</v>
      </c>
      <c r="C237" s="4">
        <v>1</v>
      </c>
      <c r="D237" s="5">
        <v>28</v>
      </c>
      <c r="E237" s="4">
        <v>81994507</v>
      </c>
      <c r="F237" s="3" t="s">
        <v>5625</v>
      </c>
      <c r="G237" s="7" t="s">
        <v>5898</v>
      </c>
      <c r="H237" s="3" t="s">
        <v>6280</v>
      </c>
      <c r="I237" s="3" t="s">
        <v>6281</v>
      </c>
      <c r="J237" s="3" t="s">
        <v>5536</v>
      </c>
      <c r="K237" s="3" t="s">
        <v>6284</v>
      </c>
      <c r="L237" s="8" t="str">
        <f>HYPERLINK("http://slimages.macys.com/is/image/MCY/15882899 ")</f>
        <v xml:space="preserve">http://slimages.macys.com/is/image/MCY/15882899 </v>
      </c>
    </row>
    <row r="238" spans="1:12" ht="24.75" x14ac:dyDescent="0.25">
      <c r="A238" s="6" t="s">
        <v>4184</v>
      </c>
      <c r="B238" s="3" t="s">
        <v>4166</v>
      </c>
      <c r="C238" s="4">
        <v>1</v>
      </c>
      <c r="D238" s="5">
        <v>28</v>
      </c>
      <c r="E238" s="4" t="s">
        <v>4167</v>
      </c>
      <c r="F238" s="3" t="s">
        <v>5754</v>
      </c>
      <c r="G238" s="7" t="s">
        <v>5898</v>
      </c>
      <c r="H238" s="3" t="s">
        <v>6280</v>
      </c>
      <c r="I238" s="3" t="s">
        <v>6312</v>
      </c>
      <c r="J238" s="3" t="s">
        <v>5536</v>
      </c>
      <c r="K238" s="3" t="s">
        <v>6303</v>
      </c>
      <c r="L238" s="8" t="str">
        <f>HYPERLINK("http://slimages.macys.com/is/image/MCY/15346508 ")</f>
        <v xml:space="preserve">http://slimages.macys.com/is/image/MCY/15346508 </v>
      </c>
    </row>
    <row r="239" spans="1:12" ht="24.75" x14ac:dyDescent="0.25">
      <c r="A239" s="6" t="s">
        <v>4185</v>
      </c>
      <c r="B239" s="3" t="s">
        <v>4186</v>
      </c>
      <c r="C239" s="4">
        <v>1</v>
      </c>
      <c r="D239" s="5">
        <v>28</v>
      </c>
      <c r="E239" s="4" t="s">
        <v>4187</v>
      </c>
      <c r="F239" s="3" t="s">
        <v>5532</v>
      </c>
      <c r="G239" s="7" t="s">
        <v>5898</v>
      </c>
      <c r="H239" s="3" t="s">
        <v>6280</v>
      </c>
      <c r="I239" s="3" t="s">
        <v>6312</v>
      </c>
      <c r="J239" s="3" t="s">
        <v>5536</v>
      </c>
      <c r="K239" s="3" t="s">
        <v>6372</v>
      </c>
      <c r="L239" s="8" t="str">
        <f>HYPERLINK("http://slimages.macys.com/is/image/MCY/14828696 ")</f>
        <v xml:space="preserve">http://slimages.macys.com/is/image/MCY/14828696 </v>
      </c>
    </row>
    <row r="240" spans="1:12" ht="24.75" x14ac:dyDescent="0.25">
      <c r="A240" s="6" t="s">
        <v>4188</v>
      </c>
      <c r="B240" s="3" t="s">
        <v>4189</v>
      </c>
      <c r="C240" s="4">
        <v>1</v>
      </c>
      <c r="D240" s="5">
        <v>28</v>
      </c>
      <c r="E240" s="4" t="s">
        <v>4190</v>
      </c>
      <c r="F240" s="3" t="s">
        <v>5532</v>
      </c>
      <c r="G240" s="7" t="s">
        <v>5898</v>
      </c>
      <c r="H240" s="3" t="s">
        <v>6280</v>
      </c>
      <c r="I240" s="3" t="s">
        <v>6312</v>
      </c>
      <c r="J240" s="3" t="s">
        <v>5536</v>
      </c>
      <c r="K240" s="3" t="s">
        <v>6295</v>
      </c>
      <c r="L240" s="8" t="str">
        <f>HYPERLINK("http://slimages.macys.com/is/image/MCY/15882841 ")</f>
        <v xml:space="preserve">http://slimages.macys.com/is/image/MCY/15882841 </v>
      </c>
    </row>
    <row r="241" spans="1:12" ht="24.75" x14ac:dyDescent="0.25">
      <c r="A241" s="6" t="s">
        <v>4191</v>
      </c>
      <c r="B241" s="3" t="s">
        <v>4186</v>
      </c>
      <c r="C241" s="4">
        <v>1</v>
      </c>
      <c r="D241" s="5">
        <v>28</v>
      </c>
      <c r="E241" s="4" t="s">
        <v>4187</v>
      </c>
      <c r="F241" s="3" t="s">
        <v>6010</v>
      </c>
      <c r="G241" s="7" t="s">
        <v>5898</v>
      </c>
      <c r="H241" s="3" t="s">
        <v>6280</v>
      </c>
      <c r="I241" s="3" t="s">
        <v>6312</v>
      </c>
      <c r="J241" s="3" t="s">
        <v>5536</v>
      </c>
      <c r="K241" s="3" t="s">
        <v>6372</v>
      </c>
      <c r="L241" s="8" t="str">
        <f>HYPERLINK("http://slimages.macys.com/is/image/MCY/14828696 ")</f>
        <v xml:space="preserve">http://slimages.macys.com/is/image/MCY/14828696 </v>
      </c>
    </row>
    <row r="242" spans="1:12" ht="24.75" x14ac:dyDescent="0.25">
      <c r="A242" s="6" t="s">
        <v>4192</v>
      </c>
      <c r="B242" s="3" t="s">
        <v>4166</v>
      </c>
      <c r="C242" s="4">
        <v>1</v>
      </c>
      <c r="D242" s="5">
        <v>28</v>
      </c>
      <c r="E242" s="4" t="s">
        <v>4167</v>
      </c>
      <c r="F242" s="3" t="s">
        <v>6335</v>
      </c>
      <c r="G242" s="7" t="s">
        <v>5898</v>
      </c>
      <c r="H242" s="3" t="s">
        <v>6280</v>
      </c>
      <c r="I242" s="3" t="s">
        <v>6312</v>
      </c>
      <c r="J242" s="3" t="s">
        <v>5536</v>
      </c>
      <c r="K242" s="3" t="s">
        <v>6303</v>
      </c>
      <c r="L242" s="8" t="str">
        <f>HYPERLINK("http://slimages.macys.com/is/image/MCY/15346508 ")</f>
        <v xml:space="preserve">http://slimages.macys.com/is/image/MCY/15346508 </v>
      </c>
    </row>
    <row r="243" spans="1:12" ht="24.75" x14ac:dyDescent="0.25">
      <c r="A243" s="6" t="s">
        <v>4193</v>
      </c>
      <c r="B243" s="3" t="s">
        <v>4194</v>
      </c>
      <c r="C243" s="4">
        <v>1</v>
      </c>
      <c r="D243" s="5">
        <v>28</v>
      </c>
      <c r="E243" s="4" t="s">
        <v>4195</v>
      </c>
      <c r="F243" s="3" t="s">
        <v>5566</v>
      </c>
      <c r="G243" s="7" t="s">
        <v>5898</v>
      </c>
      <c r="H243" s="3" t="s">
        <v>6280</v>
      </c>
      <c r="I243" s="3" t="s">
        <v>6312</v>
      </c>
      <c r="J243" s="3" t="s">
        <v>5536</v>
      </c>
      <c r="K243" s="3" t="s">
        <v>6295</v>
      </c>
      <c r="L243" s="8" t="str">
        <f>HYPERLINK("http://slimages.macys.com/is/image/MCY/15883849 ")</f>
        <v xml:space="preserve">http://slimages.macys.com/is/image/MCY/15883849 </v>
      </c>
    </row>
    <row r="244" spans="1:12" ht="24.75" x14ac:dyDescent="0.25">
      <c r="A244" s="6" t="s">
        <v>4196</v>
      </c>
      <c r="B244" s="3" t="s">
        <v>4166</v>
      </c>
      <c r="C244" s="4">
        <v>1</v>
      </c>
      <c r="D244" s="5">
        <v>28</v>
      </c>
      <c r="E244" s="4" t="s">
        <v>4167</v>
      </c>
      <c r="F244" s="3" t="s">
        <v>6146</v>
      </c>
      <c r="G244" s="7" t="s">
        <v>5898</v>
      </c>
      <c r="H244" s="3" t="s">
        <v>6280</v>
      </c>
      <c r="I244" s="3" t="s">
        <v>6312</v>
      </c>
      <c r="J244" s="3" t="s">
        <v>5536</v>
      </c>
      <c r="K244" s="3" t="s">
        <v>6303</v>
      </c>
      <c r="L244" s="8" t="str">
        <f>HYPERLINK("http://slimages.macys.com/is/image/MCY/15346508 ")</f>
        <v xml:space="preserve">http://slimages.macys.com/is/image/MCY/15346508 </v>
      </c>
    </row>
    <row r="245" spans="1:12" ht="24.75" x14ac:dyDescent="0.25">
      <c r="A245" s="6" t="s">
        <v>4197</v>
      </c>
      <c r="B245" s="3" t="s">
        <v>4166</v>
      </c>
      <c r="C245" s="4">
        <v>1</v>
      </c>
      <c r="D245" s="5">
        <v>28</v>
      </c>
      <c r="E245" s="4" t="s">
        <v>4167</v>
      </c>
      <c r="F245" s="3" t="s">
        <v>5566</v>
      </c>
      <c r="G245" s="7" t="s">
        <v>5898</v>
      </c>
      <c r="H245" s="3" t="s">
        <v>6280</v>
      </c>
      <c r="I245" s="3" t="s">
        <v>6312</v>
      </c>
      <c r="J245" s="3" t="s">
        <v>5536</v>
      </c>
      <c r="K245" s="3" t="s">
        <v>6303</v>
      </c>
      <c r="L245" s="8" t="str">
        <f>HYPERLINK("http://slimages.macys.com/is/image/MCY/15346508 ")</f>
        <v xml:space="preserve">http://slimages.macys.com/is/image/MCY/15346508 </v>
      </c>
    </row>
    <row r="246" spans="1:12" ht="24.75" x14ac:dyDescent="0.25">
      <c r="A246" s="6" t="s">
        <v>4198</v>
      </c>
      <c r="B246" s="3" t="s">
        <v>6294</v>
      </c>
      <c r="C246" s="4">
        <v>1</v>
      </c>
      <c r="D246" s="5">
        <v>28</v>
      </c>
      <c r="E246" s="4">
        <v>87994402</v>
      </c>
      <c r="F246" s="3" t="s">
        <v>6983</v>
      </c>
      <c r="G246" s="7" t="s">
        <v>5898</v>
      </c>
      <c r="H246" s="3" t="s">
        <v>6280</v>
      </c>
      <c r="I246" s="3" t="s">
        <v>6281</v>
      </c>
      <c r="J246" s="3" t="s">
        <v>5536</v>
      </c>
      <c r="K246" s="3" t="s">
        <v>6295</v>
      </c>
      <c r="L246" s="8" t="str">
        <f>HYPERLINK("http://slimages.macys.com/is/image/MCY/15884038 ")</f>
        <v xml:space="preserve">http://slimages.macys.com/is/image/MCY/15884038 </v>
      </c>
    </row>
    <row r="247" spans="1:12" ht="24.75" x14ac:dyDescent="0.25">
      <c r="A247" s="6" t="s">
        <v>6314</v>
      </c>
      <c r="B247" s="3" t="s">
        <v>6315</v>
      </c>
      <c r="C247" s="4">
        <v>1</v>
      </c>
      <c r="D247" s="5">
        <v>28</v>
      </c>
      <c r="E247" s="4">
        <v>87994301</v>
      </c>
      <c r="F247" s="3" t="s">
        <v>5754</v>
      </c>
      <c r="G247" s="7" t="s">
        <v>5898</v>
      </c>
      <c r="H247" s="3" t="s">
        <v>6280</v>
      </c>
      <c r="I247" s="3" t="s">
        <v>6281</v>
      </c>
      <c r="J247" s="3" t="s">
        <v>5536</v>
      </c>
      <c r="K247" s="3" t="s">
        <v>6316</v>
      </c>
      <c r="L247" s="8" t="str">
        <f>HYPERLINK("http://slimages.macys.com/is/image/MCY/15883995 ")</f>
        <v xml:space="preserve">http://slimages.macys.com/is/image/MCY/15883995 </v>
      </c>
    </row>
    <row r="248" spans="1:12" ht="24.75" x14ac:dyDescent="0.25">
      <c r="A248" s="6" t="s">
        <v>6364</v>
      </c>
      <c r="B248" s="3" t="s">
        <v>6294</v>
      </c>
      <c r="C248" s="4">
        <v>1</v>
      </c>
      <c r="D248" s="5">
        <v>28</v>
      </c>
      <c r="E248" s="4">
        <v>87994402</v>
      </c>
      <c r="F248" s="3" t="s">
        <v>5661</v>
      </c>
      <c r="G248" s="7" t="s">
        <v>5898</v>
      </c>
      <c r="H248" s="3" t="s">
        <v>6280</v>
      </c>
      <c r="I248" s="3" t="s">
        <v>6281</v>
      </c>
      <c r="J248" s="3" t="s">
        <v>5536</v>
      </c>
      <c r="K248" s="3" t="s">
        <v>6295</v>
      </c>
      <c r="L248" s="8" t="str">
        <f>HYPERLINK("http://slimages.macys.com/is/image/MCY/15884038 ")</f>
        <v xml:space="preserve">http://slimages.macys.com/is/image/MCY/15884038 </v>
      </c>
    </row>
    <row r="249" spans="1:12" ht="24.75" x14ac:dyDescent="0.25">
      <c r="A249" s="6" t="s">
        <v>4199</v>
      </c>
      <c r="B249" s="3" t="s">
        <v>4200</v>
      </c>
      <c r="C249" s="4">
        <v>1</v>
      </c>
      <c r="D249" s="5">
        <v>28</v>
      </c>
      <c r="E249" s="4" t="s">
        <v>4201</v>
      </c>
      <c r="F249" s="3" t="s">
        <v>6010</v>
      </c>
      <c r="G249" s="7" t="s">
        <v>5898</v>
      </c>
      <c r="H249" s="3" t="s">
        <v>6280</v>
      </c>
      <c r="I249" s="3" t="s">
        <v>6312</v>
      </c>
      <c r="J249" s="3" t="s">
        <v>5536</v>
      </c>
      <c r="K249" s="3" t="s">
        <v>6372</v>
      </c>
      <c r="L249" s="8" t="str">
        <f>HYPERLINK("http://slimages.macys.com/is/image/MCY/14806164 ")</f>
        <v xml:space="preserve">http://slimages.macys.com/is/image/MCY/14806164 </v>
      </c>
    </row>
    <row r="250" spans="1:12" ht="24.75" x14ac:dyDescent="0.25">
      <c r="A250" s="6" t="s">
        <v>4202</v>
      </c>
      <c r="B250" s="3" t="s">
        <v>4172</v>
      </c>
      <c r="C250" s="4">
        <v>1</v>
      </c>
      <c r="D250" s="5">
        <v>28</v>
      </c>
      <c r="E250" s="4">
        <v>87594611</v>
      </c>
      <c r="F250" s="3" t="s">
        <v>5552</v>
      </c>
      <c r="G250" s="7" t="s">
        <v>5898</v>
      </c>
      <c r="H250" s="3" t="s">
        <v>6280</v>
      </c>
      <c r="I250" s="3" t="s">
        <v>6281</v>
      </c>
      <c r="J250" s="3" t="s">
        <v>5536</v>
      </c>
      <c r="K250" s="3" t="s">
        <v>6295</v>
      </c>
      <c r="L250" s="8" t="str">
        <f>HYPERLINK("http://slimages.macys.com/is/image/MCY/15883965 ")</f>
        <v xml:space="preserve">http://slimages.macys.com/is/image/MCY/15883965 </v>
      </c>
    </row>
    <row r="251" spans="1:12" ht="24.75" x14ac:dyDescent="0.25">
      <c r="A251" s="6" t="s">
        <v>4203</v>
      </c>
      <c r="B251" s="3" t="s">
        <v>4162</v>
      </c>
      <c r="C251" s="4">
        <v>2</v>
      </c>
      <c r="D251" s="5">
        <v>56</v>
      </c>
      <c r="E251" s="4" t="s">
        <v>4163</v>
      </c>
      <c r="F251" s="3" t="s">
        <v>6410</v>
      </c>
      <c r="G251" s="7" t="s">
        <v>5898</v>
      </c>
      <c r="H251" s="3" t="s">
        <v>6280</v>
      </c>
      <c r="I251" s="3" t="s">
        <v>6312</v>
      </c>
      <c r="J251" s="3" t="s">
        <v>5536</v>
      </c>
      <c r="K251" s="3" t="s">
        <v>6338</v>
      </c>
      <c r="L251" s="8" t="str">
        <f>HYPERLINK("http://slimages.macys.com/is/image/MCY/15439897 ")</f>
        <v xml:space="preserve">http://slimages.macys.com/is/image/MCY/15439897 </v>
      </c>
    </row>
    <row r="252" spans="1:12" ht="24.75" x14ac:dyDescent="0.25">
      <c r="A252" s="6" t="s">
        <v>6296</v>
      </c>
      <c r="B252" s="3" t="s">
        <v>6283</v>
      </c>
      <c r="C252" s="4">
        <v>1</v>
      </c>
      <c r="D252" s="5">
        <v>28</v>
      </c>
      <c r="E252" s="4">
        <v>81994507</v>
      </c>
      <c r="F252" s="3" t="s">
        <v>5661</v>
      </c>
      <c r="G252" s="7" t="s">
        <v>5898</v>
      </c>
      <c r="H252" s="3" t="s">
        <v>6280</v>
      </c>
      <c r="I252" s="3" t="s">
        <v>6281</v>
      </c>
      <c r="J252" s="3" t="s">
        <v>5536</v>
      </c>
      <c r="K252" s="3" t="s">
        <v>6284</v>
      </c>
      <c r="L252" s="8" t="str">
        <f>HYPERLINK("http://slimages.macys.com/is/image/MCY/15882899 ")</f>
        <v xml:space="preserve">http://slimages.macys.com/is/image/MCY/15882899 </v>
      </c>
    </row>
    <row r="253" spans="1:12" ht="24.75" x14ac:dyDescent="0.25">
      <c r="A253" s="6" t="s">
        <v>4204</v>
      </c>
      <c r="B253" s="3" t="s">
        <v>4194</v>
      </c>
      <c r="C253" s="4">
        <v>1</v>
      </c>
      <c r="D253" s="5">
        <v>28</v>
      </c>
      <c r="E253" s="4" t="s">
        <v>4195</v>
      </c>
      <c r="F253" s="3" t="s">
        <v>6075</v>
      </c>
      <c r="G253" s="7" t="s">
        <v>5898</v>
      </c>
      <c r="H253" s="3" t="s">
        <v>6280</v>
      </c>
      <c r="I253" s="3" t="s">
        <v>6312</v>
      </c>
      <c r="J253" s="3" t="s">
        <v>5536</v>
      </c>
      <c r="K253" s="3" t="s">
        <v>6295</v>
      </c>
      <c r="L253" s="8" t="str">
        <f>HYPERLINK("http://slimages.macys.com/is/image/MCY/15883849 ")</f>
        <v xml:space="preserve">http://slimages.macys.com/is/image/MCY/15883849 </v>
      </c>
    </row>
    <row r="254" spans="1:12" ht="24.75" x14ac:dyDescent="0.25">
      <c r="A254" s="6" t="s">
        <v>4205</v>
      </c>
      <c r="B254" s="3" t="s">
        <v>4206</v>
      </c>
      <c r="C254" s="4">
        <v>1</v>
      </c>
      <c r="D254" s="5">
        <v>28</v>
      </c>
      <c r="E254" s="4" t="s">
        <v>4207</v>
      </c>
      <c r="F254" s="3" t="s">
        <v>5566</v>
      </c>
      <c r="G254" s="7" t="s">
        <v>5898</v>
      </c>
      <c r="H254" s="3" t="s">
        <v>6280</v>
      </c>
      <c r="I254" s="3" t="s">
        <v>6312</v>
      </c>
      <c r="J254" s="3" t="s">
        <v>5536</v>
      </c>
      <c r="K254" s="3" t="s">
        <v>4157</v>
      </c>
      <c r="L254" s="8" t="str">
        <f>HYPERLINK("http://slimages.macys.com/is/image/MCY/15440089 ")</f>
        <v xml:space="preserve">http://slimages.macys.com/is/image/MCY/15440089 </v>
      </c>
    </row>
    <row r="255" spans="1:12" ht="24.75" x14ac:dyDescent="0.25">
      <c r="A255" s="6" t="s">
        <v>4208</v>
      </c>
      <c r="B255" s="3" t="s">
        <v>4162</v>
      </c>
      <c r="C255" s="4">
        <v>1</v>
      </c>
      <c r="D255" s="5">
        <v>28</v>
      </c>
      <c r="E255" s="4" t="s">
        <v>4163</v>
      </c>
      <c r="F255" s="3" t="s">
        <v>5532</v>
      </c>
      <c r="G255" s="7" t="s">
        <v>5898</v>
      </c>
      <c r="H255" s="3" t="s">
        <v>6280</v>
      </c>
      <c r="I255" s="3" t="s">
        <v>6312</v>
      </c>
      <c r="J255" s="3" t="s">
        <v>5536</v>
      </c>
      <c r="K255" s="3" t="s">
        <v>6338</v>
      </c>
      <c r="L255" s="8" t="str">
        <f>HYPERLINK("http://slimages.macys.com/is/image/MCY/15439897 ")</f>
        <v xml:space="preserve">http://slimages.macys.com/is/image/MCY/15439897 </v>
      </c>
    </row>
    <row r="256" spans="1:12" ht="24.75" x14ac:dyDescent="0.25">
      <c r="A256" s="6" t="s">
        <v>4209</v>
      </c>
      <c r="B256" s="3" t="s">
        <v>4210</v>
      </c>
      <c r="C256" s="4">
        <v>1</v>
      </c>
      <c r="D256" s="5">
        <v>28</v>
      </c>
      <c r="E256" s="4" t="s">
        <v>4211</v>
      </c>
      <c r="F256" s="3" t="s">
        <v>6010</v>
      </c>
      <c r="G256" s="7" t="s">
        <v>5898</v>
      </c>
      <c r="H256" s="3" t="s">
        <v>6280</v>
      </c>
      <c r="I256" s="3" t="s">
        <v>6312</v>
      </c>
      <c r="J256" s="3" t="s">
        <v>5536</v>
      </c>
      <c r="K256" s="3" t="s">
        <v>6332</v>
      </c>
      <c r="L256" s="8" t="str">
        <f>HYPERLINK("http://slimages.macys.com/is/image/MCY/15883771 ")</f>
        <v xml:space="preserve">http://slimages.macys.com/is/image/MCY/15883771 </v>
      </c>
    </row>
    <row r="257" spans="1:12" ht="24.75" x14ac:dyDescent="0.25">
      <c r="A257" s="6" t="s">
        <v>4212</v>
      </c>
      <c r="B257" s="3" t="s">
        <v>4213</v>
      </c>
      <c r="C257" s="4">
        <v>1</v>
      </c>
      <c r="D257" s="5">
        <v>28</v>
      </c>
      <c r="E257" s="4" t="s">
        <v>4214</v>
      </c>
      <c r="F257" s="3" t="s">
        <v>5820</v>
      </c>
      <c r="G257" s="7" t="s">
        <v>5898</v>
      </c>
      <c r="H257" s="3" t="s">
        <v>6280</v>
      </c>
      <c r="I257" s="3" t="s">
        <v>6312</v>
      </c>
      <c r="J257" s="3" t="s">
        <v>5536</v>
      </c>
      <c r="K257" s="3" t="s">
        <v>6338</v>
      </c>
      <c r="L257" s="8" t="str">
        <f>HYPERLINK("http://slimages.macys.com/is/image/MCY/15883589 ")</f>
        <v xml:space="preserve">http://slimages.macys.com/is/image/MCY/15883589 </v>
      </c>
    </row>
    <row r="258" spans="1:12" ht="24.75" x14ac:dyDescent="0.25">
      <c r="A258" s="6" t="s">
        <v>4215</v>
      </c>
      <c r="B258" s="3" t="s">
        <v>4159</v>
      </c>
      <c r="C258" s="4">
        <v>1</v>
      </c>
      <c r="D258" s="5">
        <v>28</v>
      </c>
      <c r="E258" s="4" t="s">
        <v>4160</v>
      </c>
      <c r="F258" s="3" t="s">
        <v>4216</v>
      </c>
      <c r="G258" s="7" t="s">
        <v>5898</v>
      </c>
      <c r="H258" s="3" t="s">
        <v>6280</v>
      </c>
      <c r="I258" s="3" t="s">
        <v>6312</v>
      </c>
      <c r="J258" s="3" t="s">
        <v>5536</v>
      </c>
      <c r="K258" s="3" t="s">
        <v>6295</v>
      </c>
      <c r="L258" s="8" t="str">
        <f>HYPERLINK("http://slimages.macys.com/is/image/MCY/15882734 ")</f>
        <v xml:space="preserve">http://slimages.macys.com/is/image/MCY/15882734 </v>
      </c>
    </row>
    <row r="259" spans="1:12" ht="24.75" x14ac:dyDescent="0.25">
      <c r="A259" s="6" t="s">
        <v>4217</v>
      </c>
      <c r="B259" s="3" t="s">
        <v>4166</v>
      </c>
      <c r="C259" s="4">
        <v>1</v>
      </c>
      <c r="D259" s="5">
        <v>28</v>
      </c>
      <c r="E259" s="4" t="s">
        <v>4167</v>
      </c>
      <c r="F259" s="3" t="s">
        <v>5532</v>
      </c>
      <c r="G259" s="7" t="s">
        <v>5898</v>
      </c>
      <c r="H259" s="3" t="s">
        <v>6280</v>
      </c>
      <c r="I259" s="3" t="s">
        <v>6312</v>
      </c>
      <c r="J259" s="3" t="s">
        <v>5536</v>
      </c>
      <c r="K259" s="3" t="s">
        <v>6303</v>
      </c>
      <c r="L259" s="8" t="str">
        <f>HYPERLINK("http://slimages.macys.com/is/image/MCY/15346508 ")</f>
        <v xml:space="preserve">http://slimages.macys.com/is/image/MCY/15346508 </v>
      </c>
    </row>
    <row r="260" spans="1:12" ht="24.75" x14ac:dyDescent="0.25">
      <c r="A260" s="6" t="s">
        <v>4218</v>
      </c>
      <c r="B260" s="3" t="s">
        <v>4162</v>
      </c>
      <c r="C260" s="4">
        <v>2</v>
      </c>
      <c r="D260" s="5">
        <v>56</v>
      </c>
      <c r="E260" s="4" t="s">
        <v>4163</v>
      </c>
      <c r="F260" s="3" t="s">
        <v>5532</v>
      </c>
      <c r="G260" s="7" t="s">
        <v>5898</v>
      </c>
      <c r="H260" s="3" t="s">
        <v>6280</v>
      </c>
      <c r="I260" s="3" t="s">
        <v>6312</v>
      </c>
      <c r="J260" s="3" t="s">
        <v>5536</v>
      </c>
      <c r="K260" s="3" t="s">
        <v>6338</v>
      </c>
      <c r="L260" s="8" t="str">
        <f>HYPERLINK("http://slimages.macys.com/is/image/MCY/15439897 ")</f>
        <v xml:space="preserve">http://slimages.macys.com/is/image/MCY/15439897 </v>
      </c>
    </row>
    <row r="261" spans="1:12" ht="24.75" x14ac:dyDescent="0.25">
      <c r="A261" s="6" t="s">
        <v>4219</v>
      </c>
      <c r="B261" s="3" t="s">
        <v>4172</v>
      </c>
      <c r="C261" s="4">
        <v>1</v>
      </c>
      <c r="D261" s="5">
        <v>28</v>
      </c>
      <c r="E261" s="4">
        <v>87594611</v>
      </c>
      <c r="F261" s="3" t="s">
        <v>5754</v>
      </c>
      <c r="G261" s="7" t="s">
        <v>5898</v>
      </c>
      <c r="H261" s="3" t="s">
        <v>6280</v>
      </c>
      <c r="I261" s="3" t="s">
        <v>6281</v>
      </c>
      <c r="J261" s="3" t="s">
        <v>5536</v>
      </c>
      <c r="K261" s="3" t="s">
        <v>6295</v>
      </c>
      <c r="L261" s="8" t="str">
        <f>HYPERLINK("http://slimages.macys.com/is/image/MCY/15883965 ")</f>
        <v xml:space="preserve">http://slimages.macys.com/is/image/MCY/15883965 </v>
      </c>
    </row>
    <row r="262" spans="1:12" ht="24.75" x14ac:dyDescent="0.25">
      <c r="A262" s="6" t="s">
        <v>4220</v>
      </c>
      <c r="B262" s="3" t="s">
        <v>6315</v>
      </c>
      <c r="C262" s="4">
        <v>1</v>
      </c>
      <c r="D262" s="5">
        <v>28</v>
      </c>
      <c r="E262" s="4">
        <v>87994301</v>
      </c>
      <c r="F262" s="3" t="s">
        <v>6983</v>
      </c>
      <c r="G262" s="7" t="s">
        <v>5898</v>
      </c>
      <c r="H262" s="3" t="s">
        <v>6280</v>
      </c>
      <c r="I262" s="3" t="s">
        <v>6281</v>
      </c>
      <c r="J262" s="3" t="s">
        <v>5536</v>
      </c>
      <c r="K262" s="3" t="s">
        <v>6316</v>
      </c>
      <c r="L262" s="8" t="str">
        <f>HYPERLINK("http://slimages.macys.com/is/image/MCY/15883995 ")</f>
        <v xml:space="preserve">http://slimages.macys.com/is/image/MCY/15883995 </v>
      </c>
    </row>
    <row r="263" spans="1:12" ht="24.75" x14ac:dyDescent="0.25">
      <c r="A263" s="6" t="s">
        <v>6340</v>
      </c>
      <c r="B263" s="3" t="s">
        <v>6341</v>
      </c>
      <c r="C263" s="4">
        <v>1</v>
      </c>
      <c r="D263" s="5">
        <v>28</v>
      </c>
      <c r="E263" s="4">
        <v>87994201</v>
      </c>
      <c r="F263" s="3" t="s">
        <v>5661</v>
      </c>
      <c r="G263" s="7" t="s">
        <v>5898</v>
      </c>
      <c r="H263" s="3" t="s">
        <v>6280</v>
      </c>
      <c r="I263" s="3" t="s">
        <v>6281</v>
      </c>
      <c r="J263" s="3" t="s">
        <v>5536</v>
      </c>
      <c r="K263" s="3" t="s">
        <v>6342</v>
      </c>
      <c r="L263" s="8" t="str">
        <f>HYPERLINK("http://slimages.macys.com/is/image/MCY/15147424 ")</f>
        <v xml:space="preserve">http://slimages.macys.com/is/image/MCY/15147424 </v>
      </c>
    </row>
    <row r="264" spans="1:12" ht="24.75" x14ac:dyDescent="0.25">
      <c r="A264" s="6" t="s">
        <v>4221</v>
      </c>
      <c r="B264" s="3" t="s">
        <v>4222</v>
      </c>
      <c r="C264" s="4">
        <v>1</v>
      </c>
      <c r="D264" s="5">
        <v>28</v>
      </c>
      <c r="E264" s="4" t="s">
        <v>4223</v>
      </c>
      <c r="F264" s="3" t="s">
        <v>6146</v>
      </c>
      <c r="G264" s="7" t="s">
        <v>5898</v>
      </c>
      <c r="H264" s="3" t="s">
        <v>6280</v>
      </c>
      <c r="I264" s="3" t="s">
        <v>6312</v>
      </c>
      <c r="J264" s="3" t="s">
        <v>5536</v>
      </c>
      <c r="K264" s="3" t="s">
        <v>4224</v>
      </c>
      <c r="L264" s="8" t="str">
        <f>HYPERLINK("http://slimages.macys.com/is/image/MCY/10137839 ")</f>
        <v xml:space="preserve">http://slimages.macys.com/is/image/MCY/10137839 </v>
      </c>
    </row>
    <row r="265" spans="1:12" ht="24.75" x14ac:dyDescent="0.25">
      <c r="A265" s="6" t="s">
        <v>4225</v>
      </c>
      <c r="B265" s="3" t="s">
        <v>4194</v>
      </c>
      <c r="C265" s="4">
        <v>1</v>
      </c>
      <c r="D265" s="5">
        <v>28</v>
      </c>
      <c r="E265" s="4" t="s">
        <v>4195</v>
      </c>
      <c r="F265" s="3" t="s">
        <v>5610</v>
      </c>
      <c r="G265" s="7" t="s">
        <v>5898</v>
      </c>
      <c r="H265" s="3" t="s">
        <v>6280</v>
      </c>
      <c r="I265" s="3" t="s">
        <v>6312</v>
      </c>
      <c r="J265" s="3" t="s">
        <v>5536</v>
      </c>
      <c r="K265" s="3" t="s">
        <v>6295</v>
      </c>
      <c r="L265" s="8" t="str">
        <f>HYPERLINK("http://slimages.macys.com/is/image/MCY/15883849 ")</f>
        <v xml:space="preserve">http://slimages.macys.com/is/image/MCY/15883849 </v>
      </c>
    </row>
    <row r="266" spans="1:12" ht="24.75" x14ac:dyDescent="0.25">
      <c r="A266" s="6" t="s">
        <v>4226</v>
      </c>
      <c r="B266" s="3" t="s">
        <v>4172</v>
      </c>
      <c r="C266" s="4">
        <v>1</v>
      </c>
      <c r="D266" s="5">
        <v>28</v>
      </c>
      <c r="E266" s="4">
        <v>87594611</v>
      </c>
      <c r="F266" s="3" t="s">
        <v>5661</v>
      </c>
      <c r="G266" s="7" t="s">
        <v>5898</v>
      </c>
      <c r="H266" s="3" t="s">
        <v>6280</v>
      </c>
      <c r="I266" s="3" t="s">
        <v>6281</v>
      </c>
      <c r="J266" s="3" t="s">
        <v>5536</v>
      </c>
      <c r="K266" s="3" t="s">
        <v>6295</v>
      </c>
      <c r="L266" s="8" t="str">
        <f>HYPERLINK("http://slimages.macys.com/is/image/MCY/15883965 ")</f>
        <v xml:space="preserve">http://slimages.macys.com/is/image/MCY/15883965 </v>
      </c>
    </row>
    <row r="267" spans="1:12" ht="24.75" x14ac:dyDescent="0.25">
      <c r="A267" s="6" t="s">
        <v>6353</v>
      </c>
      <c r="B267" s="3" t="s">
        <v>6337</v>
      </c>
      <c r="C267" s="4">
        <v>1</v>
      </c>
      <c r="D267" s="5">
        <v>28</v>
      </c>
      <c r="E267" s="4">
        <v>87994403</v>
      </c>
      <c r="F267" s="3" t="s">
        <v>5661</v>
      </c>
      <c r="G267" s="7" t="s">
        <v>5898</v>
      </c>
      <c r="H267" s="3" t="s">
        <v>6280</v>
      </c>
      <c r="I267" s="3" t="s">
        <v>6281</v>
      </c>
      <c r="J267" s="3" t="s">
        <v>5536</v>
      </c>
      <c r="K267" s="3" t="s">
        <v>6338</v>
      </c>
      <c r="L267" s="8" t="str">
        <f>HYPERLINK("http://slimages.macys.com/is/image/MCY/15882927 ")</f>
        <v xml:space="preserve">http://slimages.macys.com/is/image/MCY/15882927 </v>
      </c>
    </row>
    <row r="268" spans="1:12" ht="24.75" x14ac:dyDescent="0.25">
      <c r="A268" s="6" t="s">
        <v>4227</v>
      </c>
      <c r="B268" s="3" t="s">
        <v>6294</v>
      </c>
      <c r="C268" s="4">
        <v>1</v>
      </c>
      <c r="D268" s="5">
        <v>28</v>
      </c>
      <c r="E268" s="4">
        <v>87994402</v>
      </c>
      <c r="F268" s="3" t="s">
        <v>5661</v>
      </c>
      <c r="G268" s="7" t="s">
        <v>5898</v>
      </c>
      <c r="H268" s="3" t="s">
        <v>6280</v>
      </c>
      <c r="I268" s="3" t="s">
        <v>6281</v>
      </c>
      <c r="J268" s="3" t="s">
        <v>5536</v>
      </c>
      <c r="K268" s="3" t="s">
        <v>6295</v>
      </c>
      <c r="L268" s="8" t="str">
        <f>HYPERLINK("http://slimages.macys.com/is/image/MCY/15884038 ")</f>
        <v xml:space="preserve">http://slimages.macys.com/is/image/MCY/15884038 </v>
      </c>
    </row>
    <row r="269" spans="1:12" ht="24.75" x14ac:dyDescent="0.25">
      <c r="A269" s="6" t="s">
        <v>4228</v>
      </c>
      <c r="B269" s="3" t="s">
        <v>4181</v>
      </c>
      <c r="C269" s="4">
        <v>1</v>
      </c>
      <c r="D269" s="5">
        <v>28</v>
      </c>
      <c r="E269" s="4">
        <v>87594501</v>
      </c>
      <c r="F269" s="3" t="s">
        <v>5532</v>
      </c>
      <c r="G269" s="7" t="s">
        <v>5898</v>
      </c>
      <c r="H269" s="3" t="s">
        <v>6280</v>
      </c>
      <c r="I269" s="3" t="s">
        <v>6281</v>
      </c>
      <c r="J269" s="3" t="s">
        <v>5536</v>
      </c>
      <c r="K269" s="3" t="s">
        <v>5549</v>
      </c>
      <c r="L269" s="8" t="str">
        <f>HYPERLINK("http://slimages.macys.com/is/image/MCY/15883959 ")</f>
        <v xml:space="preserve">http://slimages.macys.com/is/image/MCY/15883959 </v>
      </c>
    </row>
    <row r="270" spans="1:12" ht="24.75" x14ac:dyDescent="0.25">
      <c r="A270" s="6" t="s">
        <v>4229</v>
      </c>
      <c r="B270" s="3" t="s">
        <v>6294</v>
      </c>
      <c r="C270" s="4">
        <v>1</v>
      </c>
      <c r="D270" s="5">
        <v>28</v>
      </c>
      <c r="E270" s="4">
        <v>87994402</v>
      </c>
      <c r="F270" s="3" t="s">
        <v>5552</v>
      </c>
      <c r="G270" s="7" t="s">
        <v>5898</v>
      </c>
      <c r="H270" s="3" t="s">
        <v>6280</v>
      </c>
      <c r="I270" s="3" t="s">
        <v>6281</v>
      </c>
      <c r="J270" s="3" t="s">
        <v>5536</v>
      </c>
      <c r="K270" s="3" t="s">
        <v>6295</v>
      </c>
      <c r="L270" s="8" t="str">
        <f>HYPERLINK("http://slimages.macys.com/is/image/MCY/15884038 ")</f>
        <v xml:space="preserve">http://slimages.macys.com/is/image/MCY/15884038 </v>
      </c>
    </row>
    <row r="271" spans="1:12" ht="24.75" x14ac:dyDescent="0.25">
      <c r="A271" s="6" t="s">
        <v>6363</v>
      </c>
      <c r="B271" s="3" t="s">
        <v>6341</v>
      </c>
      <c r="C271" s="4">
        <v>1</v>
      </c>
      <c r="D271" s="5">
        <v>28</v>
      </c>
      <c r="E271" s="4">
        <v>87994201</v>
      </c>
      <c r="F271" s="3" t="s">
        <v>5625</v>
      </c>
      <c r="G271" s="7" t="s">
        <v>5898</v>
      </c>
      <c r="H271" s="3" t="s">
        <v>6280</v>
      </c>
      <c r="I271" s="3" t="s">
        <v>6281</v>
      </c>
      <c r="J271" s="3" t="s">
        <v>5536</v>
      </c>
      <c r="K271" s="3" t="s">
        <v>6342</v>
      </c>
      <c r="L271" s="8" t="str">
        <f>HYPERLINK("http://slimages.macys.com/is/image/MCY/15147424 ")</f>
        <v xml:space="preserve">http://slimages.macys.com/is/image/MCY/15147424 </v>
      </c>
    </row>
    <row r="272" spans="1:12" ht="24.75" x14ac:dyDescent="0.25">
      <c r="A272" s="6" t="s">
        <v>4230</v>
      </c>
      <c r="B272" s="3" t="s">
        <v>6337</v>
      </c>
      <c r="C272" s="4">
        <v>1</v>
      </c>
      <c r="D272" s="5">
        <v>28</v>
      </c>
      <c r="E272" s="4">
        <v>87994403</v>
      </c>
      <c r="F272" s="3" t="s">
        <v>5552</v>
      </c>
      <c r="G272" s="7" t="s">
        <v>5898</v>
      </c>
      <c r="H272" s="3" t="s">
        <v>6280</v>
      </c>
      <c r="I272" s="3" t="s">
        <v>6281</v>
      </c>
      <c r="J272" s="3" t="s">
        <v>5536</v>
      </c>
      <c r="K272" s="3" t="s">
        <v>6338</v>
      </c>
      <c r="L272" s="8" t="str">
        <f>HYPERLINK("http://slimages.macys.com/is/image/MCY/15882927 ")</f>
        <v xml:space="preserve">http://slimages.macys.com/is/image/MCY/15882927 </v>
      </c>
    </row>
    <row r="273" spans="1:12" ht="24.75" x14ac:dyDescent="0.25">
      <c r="A273" s="6" t="s">
        <v>6293</v>
      </c>
      <c r="B273" s="3" t="s">
        <v>6294</v>
      </c>
      <c r="C273" s="4">
        <v>1</v>
      </c>
      <c r="D273" s="5">
        <v>28</v>
      </c>
      <c r="E273" s="4">
        <v>87994402</v>
      </c>
      <c r="F273" s="3" t="s">
        <v>5754</v>
      </c>
      <c r="G273" s="7" t="s">
        <v>5898</v>
      </c>
      <c r="H273" s="3" t="s">
        <v>6280</v>
      </c>
      <c r="I273" s="3" t="s">
        <v>6281</v>
      </c>
      <c r="J273" s="3" t="s">
        <v>5536</v>
      </c>
      <c r="K273" s="3" t="s">
        <v>6295</v>
      </c>
      <c r="L273" s="8" t="str">
        <f>HYPERLINK("http://slimages.macys.com/is/image/MCY/15884038 ")</f>
        <v xml:space="preserve">http://slimages.macys.com/is/image/MCY/15884038 </v>
      </c>
    </row>
    <row r="274" spans="1:12" ht="24.75" x14ac:dyDescent="0.25">
      <c r="A274" s="6" t="s">
        <v>4231</v>
      </c>
      <c r="B274" s="3" t="s">
        <v>4232</v>
      </c>
      <c r="C274" s="4">
        <v>1</v>
      </c>
      <c r="D274" s="5">
        <v>27.99</v>
      </c>
      <c r="E274" s="4" t="s">
        <v>4233</v>
      </c>
      <c r="F274" s="3" t="s">
        <v>5532</v>
      </c>
      <c r="G274" s="7" t="s">
        <v>6252</v>
      </c>
      <c r="H274" s="3" t="s">
        <v>6280</v>
      </c>
      <c r="I274" s="3" t="s">
        <v>6420</v>
      </c>
      <c r="J274" s="3" t="s">
        <v>5536</v>
      </c>
      <c r="K274" s="3" t="s">
        <v>5727</v>
      </c>
      <c r="L274" s="8" t="str">
        <f>HYPERLINK("http://slimages.macys.com/is/image/MCY/15362546 ")</f>
        <v xml:space="preserve">http://slimages.macys.com/is/image/MCY/15362546 </v>
      </c>
    </row>
    <row r="275" spans="1:12" ht="24.75" x14ac:dyDescent="0.25">
      <c r="A275" s="6" t="s">
        <v>4234</v>
      </c>
      <c r="B275" s="3" t="s">
        <v>4232</v>
      </c>
      <c r="C275" s="4">
        <v>2</v>
      </c>
      <c r="D275" s="5">
        <v>55.98</v>
      </c>
      <c r="E275" s="4" t="s">
        <v>4233</v>
      </c>
      <c r="F275" s="3" t="s">
        <v>6335</v>
      </c>
      <c r="G275" s="7" t="s">
        <v>6252</v>
      </c>
      <c r="H275" s="3" t="s">
        <v>6280</v>
      </c>
      <c r="I275" s="3" t="s">
        <v>6420</v>
      </c>
      <c r="J275" s="3" t="s">
        <v>5536</v>
      </c>
      <c r="K275" s="3" t="s">
        <v>5727</v>
      </c>
      <c r="L275" s="8" t="str">
        <f>HYPERLINK("http://slimages.macys.com/is/image/MCY/15362546 ")</f>
        <v xml:space="preserve">http://slimages.macys.com/is/image/MCY/15362546 </v>
      </c>
    </row>
    <row r="276" spans="1:12" ht="24.75" x14ac:dyDescent="0.25">
      <c r="A276" s="6" t="s">
        <v>4235</v>
      </c>
      <c r="B276" s="3" t="s">
        <v>4236</v>
      </c>
      <c r="C276" s="4">
        <v>1</v>
      </c>
      <c r="D276" s="5">
        <v>27.99</v>
      </c>
      <c r="E276" s="4" t="s">
        <v>4237</v>
      </c>
      <c r="F276" s="3" t="s">
        <v>5803</v>
      </c>
      <c r="G276" s="7" t="s">
        <v>6252</v>
      </c>
      <c r="H276" s="3" t="s">
        <v>6280</v>
      </c>
      <c r="I276" s="3" t="s">
        <v>6420</v>
      </c>
      <c r="J276" s="3" t="s">
        <v>5536</v>
      </c>
      <c r="K276" s="3" t="s">
        <v>5727</v>
      </c>
      <c r="L276" s="8" t="str">
        <f>HYPERLINK("http://slimages.macys.com/is/image/MCY/15270914 ")</f>
        <v xml:space="preserve">http://slimages.macys.com/is/image/MCY/15270914 </v>
      </c>
    </row>
    <row r="277" spans="1:12" ht="24.75" x14ac:dyDescent="0.25">
      <c r="A277" s="6" t="s">
        <v>4238</v>
      </c>
      <c r="B277" s="3" t="s">
        <v>4232</v>
      </c>
      <c r="C277" s="4">
        <v>1</v>
      </c>
      <c r="D277" s="5">
        <v>27.99</v>
      </c>
      <c r="E277" s="4" t="s">
        <v>4233</v>
      </c>
      <c r="F277" s="3" t="s">
        <v>5532</v>
      </c>
      <c r="G277" s="7" t="s">
        <v>6252</v>
      </c>
      <c r="H277" s="3" t="s">
        <v>6280</v>
      </c>
      <c r="I277" s="3" t="s">
        <v>6420</v>
      </c>
      <c r="J277" s="3" t="s">
        <v>5536</v>
      </c>
      <c r="K277" s="3" t="s">
        <v>5727</v>
      </c>
      <c r="L277" s="8" t="str">
        <f>HYPERLINK("http://slimages.macys.com/is/image/MCY/15362546 ")</f>
        <v xml:space="preserve">http://slimages.macys.com/is/image/MCY/15362546 </v>
      </c>
    </row>
    <row r="278" spans="1:12" ht="24.75" x14ac:dyDescent="0.25">
      <c r="A278" s="6" t="s">
        <v>4239</v>
      </c>
      <c r="B278" s="3" t="s">
        <v>4240</v>
      </c>
      <c r="C278" s="4">
        <v>1</v>
      </c>
      <c r="D278" s="5">
        <v>27.99</v>
      </c>
      <c r="E278" s="4" t="s">
        <v>4241</v>
      </c>
      <c r="F278" s="3" t="s">
        <v>5532</v>
      </c>
      <c r="G278" s="7" t="s">
        <v>6252</v>
      </c>
      <c r="H278" s="3" t="s">
        <v>6280</v>
      </c>
      <c r="I278" s="3" t="s">
        <v>6420</v>
      </c>
      <c r="J278" s="3" t="s">
        <v>5536</v>
      </c>
      <c r="K278" s="3" t="s">
        <v>5727</v>
      </c>
      <c r="L278" s="8" t="str">
        <f>HYPERLINK("http://slimages.macys.com/is/image/MCY/13466587 ")</f>
        <v xml:space="preserve">http://slimages.macys.com/is/image/MCY/13466587 </v>
      </c>
    </row>
    <row r="279" spans="1:12" ht="24.75" x14ac:dyDescent="0.25">
      <c r="A279" s="6" t="s">
        <v>4242</v>
      </c>
      <c r="B279" s="3" t="s">
        <v>4243</v>
      </c>
      <c r="C279" s="4">
        <v>2</v>
      </c>
      <c r="D279" s="5">
        <v>55.98</v>
      </c>
      <c r="E279" s="4" t="s">
        <v>4244</v>
      </c>
      <c r="F279" s="3" t="s">
        <v>5540</v>
      </c>
      <c r="G279" s="7" t="s">
        <v>6252</v>
      </c>
      <c r="H279" s="3" t="s">
        <v>6280</v>
      </c>
      <c r="I279" s="3" t="s">
        <v>6420</v>
      </c>
      <c r="J279" s="3" t="s">
        <v>5536</v>
      </c>
      <c r="K279" s="3" t="s">
        <v>5727</v>
      </c>
      <c r="L279" s="8" t="str">
        <f>HYPERLINK("http://slimages.macys.com/is/image/MCY/15362532 ")</f>
        <v xml:space="preserve">http://slimages.macys.com/is/image/MCY/15362532 </v>
      </c>
    </row>
    <row r="280" spans="1:12" ht="24.75" x14ac:dyDescent="0.25">
      <c r="A280" s="6" t="s">
        <v>4245</v>
      </c>
      <c r="B280" s="3" t="s">
        <v>4246</v>
      </c>
      <c r="C280" s="4">
        <v>1</v>
      </c>
      <c r="D280" s="5">
        <v>27.99</v>
      </c>
      <c r="E280" s="4" t="s">
        <v>4247</v>
      </c>
      <c r="F280" s="3" t="s">
        <v>5783</v>
      </c>
      <c r="G280" s="7" t="s">
        <v>6252</v>
      </c>
      <c r="H280" s="3" t="s">
        <v>6280</v>
      </c>
      <c r="I280" s="3" t="s">
        <v>6420</v>
      </c>
      <c r="J280" s="3" t="s">
        <v>5536</v>
      </c>
      <c r="K280" s="3" t="s">
        <v>5727</v>
      </c>
      <c r="L280" s="8" t="str">
        <f>HYPERLINK("http://slimages.macys.com/is/image/MCY/14815314 ")</f>
        <v xml:space="preserve">http://slimages.macys.com/is/image/MCY/14815314 </v>
      </c>
    </row>
    <row r="281" spans="1:12" ht="24.75" x14ac:dyDescent="0.25">
      <c r="A281" s="6" t="s">
        <v>4248</v>
      </c>
      <c r="B281" s="3" t="s">
        <v>4236</v>
      </c>
      <c r="C281" s="4">
        <v>1</v>
      </c>
      <c r="D281" s="5">
        <v>27.99</v>
      </c>
      <c r="E281" s="4" t="s">
        <v>4237</v>
      </c>
      <c r="F281" s="3" t="s">
        <v>5634</v>
      </c>
      <c r="G281" s="7" t="s">
        <v>6252</v>
      </c>
      <c r="H281" s="3" t="s">
        <v>6280</v>
      </c>
      <c r="I281" s="3" t="s">
        <v>6420</v>
      </c>
      <c r="J281" s="3" t="s">
        <v>5536</v>
      </c>
      <c r="K281" s="3" t="s">
        <v>5727</v>
      </c>
      <c r="L281" s="8" t="str">
        <f>HYPERLINK("http://slimages.macys.com/is/image/MCY/15270914 ")</f>
        <v xml:space="preserve">http://slimages.macys.com/is/image/MCY/15270914 </v>
      </c>
    </row>
    <row r="282" spans="1:12" ht="24.75" x14ac:dyDescent="0.25">
      <c r="A282" s="6" t="s">
        <v>4249</v>
      </c>
      <c r="B282" s="3" t="s">
        <v>4232</v>
      </c>
      <c r="C282" s="4">
        <v>2</v>
      </c>
      <c r="D282" s="5">
        <v>55.98</v>
      </c>
      <c r="E282" s="4" t="s">
        <v>4233</v>
      </c>
      <c r="F282" s="3" t="s">
        <v>5640</v>
      </c>
      <c r="G282" s="7" t="s">
        <v>6252</v>
      </c>
      <c r="H282" s="3" t="s">
        <v>6280</v>
      </c>
      <c r="I282" s="3" t="s">
        <v>6420</v>
      </c>
      <c r="J282" s="3" t="s">
        <v>5536</v>
      </c>
      <c r="K282" s="3" t="s">
        <v>5727</v>
      </c>
      <c r="L282" s="8" t="str">
        <f>HYPERLINK("http://slimages.macys.com/is/image/MCY/15362546 ")</f>
        <v xml:space="preserve">http://slimages.macys.com/is/image/MCY/15362546 </v>
      </c>
    </row>
    <row r="283" spans="1:12" ht="24.75" x14ac:dyDescent="0.25">
      <c r="A283" s="6" t="s">
        <v>4250</v>
      </c>
      <c r="B283" s="3" t="s">
        <v>4251</v>
      </c>
      <c r="C283" s="4">
        <v>1</v>
      </c>
      <c r="D283" s="5">
        <v>26</v>
      </c>
      <c r="E283" s="4" t="s">
        <v>4252</v>
      </c>
      <c r="F283" s="3" t="s">
        <v>5540</v>
      </c>
      <c r="G283" s="7" t="s">
        <v>5596</v>
      </c>
      <c r="H283" s="3" t="s">
        <v>6492</v>
      </c>
      <c r="I283" s="3" t="s">
        <v>4253</v>
      </c>
      <c r="J283" s="3" t="s">
        <v>5536</v>
      </c>
      <c r="K283" s="3" t="s">
        <v>5594</v>
      </c>
      <c r="L283" s="8" t="str">
        <f>HYPERLINK("http://slimages.macys.com/is/image/MCY/15495773 ")</f>
        <v xml:space="preserve">http://slimages.macys.com/is/image/MCY/15495773 </v>
      </c>
    </row>
    <row r="284" spans="1:12" x14ac:dyDescent="0.25">
      <c r="A284" s="6" t="s">
        <v>4254</v>
      </c>
      <c r="B284" s="3" t="s">
        <v>4255</v>
      </c>
      <c r="C284" s="4">
        <v>1</v>
      </c>
      <c r="D284" s="5">
        <v>59.5</v>
      </c>
      <c r="E284" s="4">
        <v>100068752</v>
      </c>
      <c r="F284" s="3" t="s">
        <v>5820</v>
      </c>
      <c r="G284" s="7" t="s">
        <v>5582</v>
      </c>
      <c r="H284" s="3" t="s">
        <v>5585</v>
      </c>
      <c r="I284" s="3" t="s">
        <v>5734</v>
      </c>
      <c r="J284" s="3" t="s">
        <v>5536</v>
      </c>
      <c r="K284" s="3" t="s">
        <v>6494</v>
      </c>
      <c r="L284" s="8" t="str">
        <f>HYPERLINK("http://slimages.macys.com/is/image/MCY/14573839 ")</f>
        <v xml:space="preserve">http://slimages.macys.com/is/image/MCY/14573839 </v>
      </c>
    </row>
    <row r="285" spans="1:12" ht="24.75" x14ac:dyDescent="0.25">
      <c r="A285" s="6" t="s">
        <v>4256</v>
      </c>
      <c r="B285" s="3" t="s">
        <v>6471</v>
      </c>
      <c r="C285" s="4">
        <v>1</v>
      </c>
      <c r="D285" s="5">
        <v>23</v>
      </c>
      <c r="E285" s="4" t="s">
        <v>6472</v>
      </c>
      <c r="F285" s="3" t="s">
        <v>5532</v>
      </c>
      <c r="G285" s="7"/>
      <c r="H285" s="3" t="s">
        <v>5825</v>
      </c>
      <c r="I285" s="3" t="s">
        <v>5826</v>
      </c>
      <c r="J285" s="3" t="s">
        <v>5536</v>
      </c>
      <c r="K285" s="3" t="s">
        <v>5594</v>
      </c>
      <c r="L285" s="8" t="str">
        <f>HYPERLINK("http://slimages.macys.com/is/image/MCY/10267363 ")</f>
        <v xml:space="preserve">http://slimages.macys.com/is/image/MCY/10267363 </v>
      </c>
    </row>
    <row r="286" spans="1:12" ht="24.75" x14ac:dyDescent="0.25">
      <c r="A286" s="6" t="s">
        <v>4257</v>
      </c>
      <c r="B286" s="3" t="s">
        <v>6273</v>
      </c>
      <c r="C286" s="4">
        <v>1</v>
      </c>
      <c r="D286" s="5">
        <v>25</v>
      </c>
      <c r="E286" s="4" t="s">
        <v>6274</v>
      </c>
      <c r="F286" s="3" t="s">
        <v>5604</v>
      </c>
      <c r="G286" s="7"/>
      <c r="H286" s="3" t="s">
        <v>5825</v>
      </c>
      <c r="I286" s="3" t="s">
        <v>6265</v>
      </c>
      <c r="J286" s="3" t="s">
        <v>5536</v>
      </c>
      <c r="K286" s="3" t="s">
        <v>6266</v>
      </c>
      <c r="L286" s="8" t="str">
        <f>HYPERLINK("http://slimages.macys.com/is/image/MCY/11544590 ")</f>
        <v xml:space="preserve">http://slimages.macys.com/is/image/MCY/11544590 </v>
      </c>
    </row>
    <row r="287" spans="1:12" ht="24.75" x14ac:dyDescent="0.25">
      <c r="A287" s="6" t="s">
        <v>4258</v>
      </c>
      <c r="B287" s="3" t="s">
        <v>6489</v>
      </c>
      <c r="C287" s="4">
        <v>1</v>
      </c>
      <c r="D287" s="5">
        <v>40</v>
      </c>
      <c r="E287" s="4" t="s">
        <v>6490</v>
      </c>
      <c r="F287" s="3" t="s">
        <v>5566</v>
      </c>
      <c r="G287" s="7" t="s">
        <v>5852</v>
      </c>
      <c r="H287" s="3" t="s">
        <v>6492</v>
      </c>
      <c r="I287" s="3" t="s">
        <v>6493</v>
      </c>
      <c r="J287" s="3" t="s">
        <v>5536</v>
      </c>
      <c r="K287" s="3" t="s">
        <v>6494</v>
      </c>
      <c r="L287" s="8" t="str">
        <f>HYPERLINK("http://slimages.macys.com/is/image/MCY/15892725 ")</f>
        <v xml:space="preserve">http://slimages.macys.com/is/image/MCY/15892725 </v>
      </c>
    </row>
    <row r="288" spans="1:12" ht="24.75" x14ac:dyDescent="0.25">
      <c r="A288" s="6" t="s">
        <v>4259</v>
      </c>
      <c r="B288" s="3" t="s">
        <v>6498</v>
      </c>
      <c r="C288" s="4">
        <v>1</v>
      </c>
      <c r="D288" s="5">
        <v>40</v>
      </c>
      <c r="E288" s="4" t="s">
        <v>6499</v>
      </c>
      <c r="F288" s="3" t="s">
        <v>5578</v>
      </c>
      <c r="G288" s="7" t="s">
        <v>4260</v>
      </c>
      <c r="H288" s="3" t="s">
        <v>6492</v>
      </c>
      <c r="I288" s="3" t="s">
        <v>6493</v>
      </c>
      <c r="J288" s="3" t="s">
        <v>5536</v>
      </c>
      <c r="K288" s="3" t="s">
        <v>5587</v>
      </c>
      <c r="L288" s="8" t="str">
        <f>HYPERLINK("http://slimages.macys.com/is/image/MCY/13286775 ")</f>
        <v xml:space="preserve">http://slimages.macys.com/is/image/MCY/13286775 </v>
      </c>
    </row>
    <row r="289" spans="1:12" ht="24.75" x14ac:dyDescent="0.25">
      <c r="A289" s="6" t="s">
        <v>4261</v>
      </c>
      <c r="B289" s="3" t="s">
        <v>4262</v>
      </c>
      <c r="C289" s="4">
        <v>1</v>
      </c>
      <c r="D289" s="5">
        <v>34.99</v>
      </c>
      <c r="E289" s="4" t="s">
        <v>4263</v>
      </c>
      <c r="F289" s="3" t="s">
        <v>5811</v>
      </c>
      <c r="G289" s="7" t="s">
        <v>5562</v>
      </c>
      <c r="H289" s="3" t="s">
        <v>6003</v>
      </c>
      <c r="I289" s="3" t="s">
        <v>6004</v>
      </c>
      <c r="J289" s="3" t="s">
        <v>5536</v>
      </c>
      <c r="K289" s="3" t="s">
        <v>5574</v>
      </c>
      <c r="L289" s="8" t="str">
        <f>HYPERLINK("http://slimages.macys.com/is/image/MCY/15856089 ")</f>
        <v xml:space="preserve">http://slimages.macys.com/is/image/MCY/15856089 </v>
      </c>
    </row>
    <row r="290" spans="1:12" x14ac:dyDescent="0.25">
      <c r="A290" s="6" t="s">
        <v>4264</v>
      </c>
      <c r="B290" s="3" t="s">
        <v>4265</v>
      </c>
      <c r="C290" s="4">
        <v>2</v>
      </c>
      <c r="D290" s="5">
        <v>69.98</v>
      </c>
      <c r="E290" s="4" t="s">
        <v>4266</v>
      </c>
      <c r="F290" s="3" t="s">
        <v>5540</v>
      </c>
      <c r="G290" s="7" t="s">
        <v>5596</v>
      </c>
      <c r="H290" s="3" t="s">
        <v>6003</v>
      </c>
      <c r="I290" s="3" t="s">
        <v>6004</v>
      </c>
      <c r="J290" s="3" t="s">
        <v>5536</v>
      </c>
      <c r="K290" s="3" t="s">
        <v>5574</v>
      </c>
      <c r="L290" s="8" t="str">
        <f>HYPERLINK("http://slimages.macys.com/is/image/MCY/15856089 ")</f>
        <v xml:space="preserve">http://slimages.macys.com/is/image/MCY/15856089 </v>
      </c>
    </row>
    <row r="291" spans="1:12" x14ac:dyDescent="0.25">
      <c r="A291" s="6" t="s">
        <v>4267</v>
      </c>
      <c r="B291" s="3" t="s">
        <v>4265</v>
      </c>
      <c r="C291" s="4">
        <v>1</v>
      </c>
      <c r="D291" s="5">
        <v>34.99</v>
      </c>
      <c r="E291" s="4" t="s">
        <v>4266</v>
      </c>
      <c r="F291" s="3" t="s">
        <v>5578</v>
      </c>
      <c r="G291" s="7" t="s">
        <v>5560</v>
      </c>
      <c r="H291" s="3" t="s">
        <v>6003</v>
      </c>
      <c r="I291" s="3" t="s">
        <v>6004</v>
      </c>
      <c r="J291" s="3" t="s">
        <v>5536</v>
      </c>
      <c r="K291" s="3" t="s">
        <v>5574</v>
      </c>
      <c r="L291" s="8" t="str">
        <f>HYPERLINK("http://slimages.macys.com/is/image/MCY/15856089 ")</f>
        <v xml:space="preserve">http://slimages.macys.com/is/image/MCY/15856089 </v>
      </c>
    </row>
    <row r="292" spans="1:12" x14ac:dyDescent="0.25">
      <c r="A292" s="6" t="s">
        <v>4268</v>
      </c>
      <c r="B292" s="3" t="s">
        <v>4265</v>
      </c>
      <c r="C292" s="4">
        <v>1</v>
      </c>
      <c r="D292" s="5">
        <v>34.99</v>
      </c>
      <c r="E292" s="4" t="s">
        <v>4266</v>
      </c>
      <c r="F292" s="3" t="s">
        <v>5540</v>
      </c>
      <c r="G292" s="7" t="s">
        <v>5533</v>
      </c>
      <c r="H292" s="3" t="s">
        <v>6003</v>
      </c>
      <c r="I292" s="3" t="s">
        <v>6004</v>
      </c>
      <c r="J292" s="3" t="s">
        <v>5536</v>
      </c>
      <c r="K292" s="3" t="s">
        <v>5574</v>
      </c>
      <c r="L292" s="8" t="str">
        <f>HYPERLINK("http://slimages.macys.com/is/image/MCY/15856089 ")</f>
        <v xml:space="preserve">http://slimages.macys.com/is/image/MCY/15856089 </v>
      </c>
    </row>
    <row r="293" spans="1:12" x14ac:dyDescent="0.25">
      <c r="A293" s="6" t="s">
        <v>4269</v>
      </c>
      <c r="B293" s="3" t="s">
        <v>4270</v>
      </c>
      <c r="C293" s="4">
        <v>1</v>
      </c>
      <c r="D293" s="5">
        <v>34.99</v>
      </c>
      <c r="E293" s="4" t="s">
        <v>4271</v>
      </c>
      <c r="F293" s="3" t="s">
        <v>5532</v>
      </c>
      <c r="G293" s="7" t="s">
        <v>5598</v>
      </c>
      <c r="H293" s="3" t="s">
        <v>6003</v>
      </c>
      <c r="I293" s="3" t="s">
        <v>6004</v>
      </c>
      <c r="J293" s="3" t="s">
        <v>5536</v>
      </c>
      <c r="K293" s="3" t="s">
        <v>6021</v>
      </c>
      <c r="L293" s="8" t="str">
        <f>HYPERLINK("http://slimages.macys.com/is/image/MCY/16187974 ")</f>
        <v xml:space="preserve">http://slimages.macys.com/is/image/MCY/16187974 </v>
      </c>
    </row>
    <row r="294" spans="1:12" x14ac:dyDescent="0.25">
      <c r="A294" s="6" t="s">
        <v>4272</v>
      </c>
      <c r="B294" s="3" t="s">
        <v>4270</v>
      </c>
      <c r="C294" s="4">
        <v>1</v>
      </c>
      <c r="D294" s="5">
        <v>34.99</v>
      </c>
      <c r="E294" s="4" t="s">
        <v>4271</v>
      </c>
      <c r="F294" s="3" t="s">
        <v>5532</v>
      </c>
      <c r="G294" s="7" t="s">
        <v>5560</v>
      </c>
      <c r="H294" s="3" t="s">
        <v>6003</v>
      </c>
      <c r="I294" s="3" t="s">
        <v>6004</v>
      </c>
      <c r="J294" s="3" t="s">
        <v>5536</v>
      </c>
      <c r="K294" s="3" t="s">
        <v>6021</v>
      </c>
      <c r="L294" s="8" t="str">
        <f>HYPERLINK("http://slimages.macys.com/is/image/MCY/16187974 ")</f>
        <v xml:space="preserve">http://slimages.macys.com/is/image/MCY/16187974 </v>
      </c>
    </row>
    <row r="295" spans="1:12" ht="24.75" x14ac:dyDescent="0.25">
      <c r="A295" s="6" t="s">
        <v>4273</v>
      </c>
      <c r="B295" s="3" t="s">
        <v>4274</v>
      </c>
      <c r="C295" s="4">
        <v>1</v>
      </c>
      <c r="D295" s="5">
        <v>25</v>
      </c>
      <c r="E295" s="4" t="s">
        <v>4275</v>
      </c>
      <c r="F295" s="3" t="s">
        <v>5616</v>
      </c>
      <c r="G295" s="7" t="s">
        <v>6252</v>
      </c>
      <c r="H295" s="3" t="s">
        <v>4141</v>
      </c>
      <c r="I295" s="3" t="s">
        <v>6800</v>
      </c>
      <c r="J295" s="3" t="s">
        <v>5536</v>
      </c>
      <c r="K295" s="3" t="s">
        <v>4276</v>
      </c>
      <c r="L295" s="8" t="str">
        <f>HYPERLINK("http://slimages.macys.com/is/image/MCY/15502575 ")</f>
        <v xml:space="preserve">http://slimages.macys.com/is/image/MCY/15502575 </v>
      </c>
    </row>
    <row r="296" spans="1:12" ht="24.75" x14ac:dyDescent="0.25">
      <c r="A296" s="6" t="s">
        <v>4277</v>
      </c>
      <c r="B296" s="3" t="s">
        <v>6505</v>
      </c>
      <c r="C296" s="4">
        <v>1</v>
      </c>
      <c r="D296" s="5">
        <v>27.99</v>
      </c>
      <c r="E296" s="4" t="s">
        <v>6506</v>
      </c>
      <c r="F296" s="3" t="s">
        <v>5634</v>
      </c>
      <c r="G296" s="7" t="s">
        <v>6252</v>
      </c>
      <c r="H296" s="3" t="s">
        <v>6280</v>
      </c>
      <c r="I296" s="3" t="s">
        <v>6420</v>
      </c>
      <c r="J296" s="3" t="s">
        <v>5536</v>
      </c>
      <c r="K296" s="3" t="s">
        <v>6507</v>
      </c>
      <c r="L296" s="8" t="str">
        <f>HYPERLINK("http://slimages.macys.com/is/image/MCY/15271208 ")</f>
        <v xml:space="preserve">http://slimages.macys.com/is/image/MCY/15271208 </v>
      </c>
    </row>
    <row r="297" spans="1:12" ht="24.75" x14ac:dyDescent="0.25">
      <c r="A297" s="6" t="s">
        <v>4278</v>
      </c>
      <c r="B297" s="3" t="s">
        <v>6505</v>
      </c>
      <c r="C297" s="4">
        <v>1</v>
      </c>
      <c r="D297" s="5">
        <v>27.99</v>
      </c>
      <c r="E297" s="4" t="s">
        <v>6506</v>
      </c>
      <c r="F297" s="3" t="s">
        <v>5566</v>
      </c>
      <c r="G297" s="7" t="s">
        <v>6252</v>
      </c>
      <c r="H297" s="3" t="s">
        <v>6280</v>
      </c>
      <c r="I297" s="3" t="s">
        <v>6420</v>
      </c>
      <c r="J297" s="3" t="s">
        <v>5536</v>
      </c>
      <c r="K297" s="3" t="s">
        <v>6507</v>
      </c>
      <c r="L297" s="8" t="str">
        <f>HYPERLINK("http://slimages.macys.com/is/image/MCY/15271208 ")</f>
        <v xml:space="preserve">http://slimages.macys.com/is/image/MCY/15271208 </v>
      </c>
    </row>
    <row r="298" spans="1:12" ht="24.75" x14ac:dyDescent="0.25">
      <c r="A298" s="6" t="s">
        <v>4279</v>
      </c>
      <c r="B298" s="3" t="s">
        <v>6505</v>
      </c>
      <c r="C298" s="4">
        <v>1</v>
      </c>
      <c r="D298" s="5">
        <v>27.99</v>
      </c>
      <c r="E298" s="4" t="s">
        <v>6506</v>
      </c>
      <c r="F298" s="3" t="s">
        <v>6335</v>
      </c>
      <c r="G298" s="7" t="s">
        <v>6252</v>
      </c>
      <c r="H298" s="3" t="s">
        <v>6280</v>
      </c>
      <c r="I298" s="3" t="s">
        <v>6420</v>
      </c>
      <c r="J298" s="3" t="s">
        <v>5536</v>
      </c>
      <c r="K298" s="3" t="s">
        <v>6507</v>
      </c>
      <c r="L298" s="8" t="str">
        <f>HYPERLINK("http://slimages.macys.com/is/image/MCY/15271208 ")</f>
        <v xml:space="preserve">http://slimages.macys.com/is/image/MCY/15271208 </v>
      </c>
    </row>
    <row r="299" spans="1:12" ht="24.75" x14ac:dyDescent="0.25">
      <c r="A299" s="6" t="s">
        <v>6504</v>
      </c>
      <c r="B299" s="3" t="s">
        <v>6505</v>
      </c>
      <c r="C299" s="4">
        <v>2</v>
      </c>
      <c r="D299" s="5">
        <v>55.98</v>
      </c>
      <c r="E299" s="4" t="s">
        <v>6506</v>
      </c>
      <c r="F299" s="3" t="s">
        <v>5532</v>
      </c>
      <c r="G299" s="7" t="s">
        <v>6252</v>
      </c>
      <c r="H299" s="3" t="s">
        <v>6280</v>
      </c>
      <c r="I299" s="3" t="s">
        <v>6420</v>
      </c>
      <c r="J299" s="3" t="s">
        <v>5536</v>
      </c>
      <c r="K299" s="3" t="s">
        <v>6507</v>
      </c>
      <c r="L299" s="8" t="str">
        <f>HYPERLINK("http://slimages.macys.com/is/image/MCY/15271208 ")</f>
        <v xml:space="preserve">http://slimages.macys.com/is/image/MCY/15271208 </v>
      </c>
    </row>
    <row r="300" spans="1:12" ht="24.75" x14ac:dyDescent="0.25">
      <c r="A300" s="6" t="s">
        <v>4280</v>
      </c>
      <c r="B300" s="3" t="s">
        <v>4281</v>
      </c>
      <c r="C300" s="4">
        <v>1</v>
      </c>
      <c r="D300" s="5">
        <v>25</v>
      </c>
      <c r="E300" s="4" t="s">
        <v>4282</v>
      </c>
      <c r="F300" s="3" t="s">
        <v>5745</v>
      </c>
      <c r="G300" s="7"/>
      <c r="H300" s="3" t="s">
        <v>5825</v>
      </c>
      <c r="I300" s="3" t="s">
        <v>6265</v>
      </c>
      <c r="J300" s="3" t="s">
        <v>5536</v>
      </c>
      <c r="K300" s="3" t="s">
        <v>6266</v>
      </c>
      <c r="L300" s="8" t="str">
        <f>HYPERLINK("http://slimages.macys.com/is/image/MCY/13290120 ")</f>
        <v xml:space="preserve">http://slimages.macys.com/is/image/MCY/13290120 </v>
      </c>
    </row>
    <row r="301" spans="1:12" ht="24.75" x14ac:dyDescent="0.25">
      <c r="A301" s="6" t="s">
        <v>4283</v>
      </c>
      <c r="B301" s="3" t="s">
        <v>4281</v>
      </c>
      <c r="C301" s="4">
        <v>1</v>
      </c>
      <c r="D301" s="5">
        <v>25</v>
      </c>
      <c r="E301" s="4" t="s">
        <v>4282</v>
      </c>
      <c r="F301" s="3" t="s">
        <v>5745</v>
      </c>
      <c r="G301" s="7"/>
      <c r="H301" s="3" t="s">
        <v>5825</v>
      </c>
      <c r="I301" s="3" t="s">
        <v>6265</v>
      </c>
      <c r="J301" s="3" t="s">
        <v>5536</v>
      </c>
      <c r="K301" s="3" t="s">
        <v>6266</v>
      </c>
      <c r="L301" s="8" t="str">
        <f>HYPERLINK("http://slimages.macys.com/is/image/MCY/13290120 ")</f>
        <v xml:space="preserve">http://slimages.macys.com/is/image/MCY/13290120 </v>
      </c>
    </row>
    <row r="302" spans="1:12" ht="24.75" x14ac:dyDescent="0.25">
      <c r="A302" s="6" t="s">
        <v>4284</v>
      </c>
      <c r="B302" s="3" t="s">
        <v>4281</v>
      </c>
      <c r="C302" s="4">
        <v>1</v>
      </c>
      <c r="D302" s="5">
        <v>25</v>
      </c>
      <c r="E302" s="4" t="s">
        <v>4282</v>
      </c>
      <c r="F302" s="3" t="s">
        <v>5745</v>
      </c>
      <c r="G302" s="7"/>
      <c r="H302" s="3" t="s">
        <v>5825</v>
      </c>
      <c r="I302" s="3" t="s">
        <v>6265</v>
      </c>
      <c r="J302" s="3" t="s">
        <v>5536</v>
      </c>
      <c r="K302" s="3" t="s">
        <v>6266</v>
      </c>
      <c r="L302" s="8" t="str">
        <f>HYPERLINK("http://slimages.macys.com/is/image/MCY/13290120 ")</f>
        <v xml:space="preserve">http://slimages.macys.com/is/image/MCY/13290120 </v>
      </c>
    </row>
    <row r="303" spans="1:12" ht="24.75" x14ac:dyDescent="0.25">
      <c r="A303" s="6" t="s">
        <v>4285</v>
      </c>
      <c r="B303" s="3" t="s">
        <v>4286</v>
      </c>
      <c r="C303" s="4">
        <v>1</v>
      </c>
      <c r="D303" s="5">
        <v>25</v>
      </c>
      <c r="E303" s="4" t="s">
        <v>4287</v>
      </c>
      <c r="F303" s="3" t="s">
        <v>5820</v>
      </c>
      <c r="G303" s="7"/>
      <c r="H303" s="3" t="s">
        <v>5825</v>
      </c>
      <c r="I303" s="3" t="s">
        <v>6265</v>
      </c>
      <c r="J303" s="3" t="s">
        <v>5536</v>
      </c>
      <c r="K303" s="3" t="s">
        <v>6266</v>
      </c>
      <c r="L303" s="8" t="str">
        <f>HYPERLINK("http://slimages.macys.com/is/image/MCY/13290599 ")</f>
        <v xml:space="preserve">http://slimages.macys.com/is/image/MCY/13290599 </v>
      </c>
    </row>
    <row r="304" spans="1:12" ht="24.75" x14ac:dyDescent="0.25">
      <c r="A304" s="6" t="s">
        <v>4288</v>
      </c>
      <c r="B304" s="3" t="s">
        <v>4289</v>
      </c>
      <c r="C304" s="4">
        <v>1</v>
      </c>
      <c r="D304" s="5">
        <v>25.5</v>
      </c>
      <c r="E304" s="4">
        <v>54404</v>
      </c>
      <c r="F304" s="3" t="s">
        <v>5625</v>
      </c>
      <c r="G304" s="7" t="s">
        <v>5533</v>
      </c>
      <c r="H304" s="3" t="s">
        <v>5794</v>
      </c>
      <c r="I304" s="3" t="s">
        <v>4084</v>
      </c>
      <c r="J304" s="3" t="s">
        <v>5536</v>
      </c>
      <c r="K304" s="3" t="s">
        <v>5594</v>
      </c>
      <c r="L304" s="8" t="str">
        <f>HYPERLINK("http://slimages.macys.com/is/image/MCY/10077202 ")</f>
        <v xml:space="preserve">http://slimages.macys.com/is/image/MCY/10077202 </v>
      </c>
    </row>
    <row r="305" spans="1:12" ht="24.75" x14ac:dyDescent="0.25">
      <c r="A305" s="6" t="s">
        <v>4290</v>
      </c>
      <c r="B305" s="3" t="s">
        <v>4291</v>
      </c>
      <c r="C305" s="4">
        <v>1</v>
      </c>
      <c r="D305" s="5">
        <v>25</v>
      </c>
      <c r="E305" s="4">
        <v>54404</v>
      </c>
      <c r="F305" s="3" t="s">
        <v>5625</v>
      </c>
      <c r="G305" s="7" t="s">
        <v>5533</v>
      </c>
      <c r="H305" s="3" t="s">
        <v>5794</v>
      </c>
      <c r="I305" s="3" t="s">
        <v>4084</v>
      </c>
      <c r="J305" s="3" t="s">
        <v>5536</v>
      </c>
      <c r="K305" s="3" t="s">
        <v>5594</v>
      </c>
      <c r="L305" s="8" t="str">
        <f>HYPERLINK("http://slimages.macys.com/is/image/MCY/10077202 ")</f>
        <v xml:space="preserve">http://slimages.macys.com/is/image/MCY/10077202 </v>
      </c>
    </row>
    <row r="306" spans="1:12" ht="24.75" x14ac:dyDescent="0.25">
      <c r="A306" s="6" t="s">
        <v>4292</v>
      </c>
      <c r="B306" s="3" t="s">
        <v>4293</v>
      </c>
      <c r="C306" s="4">
        <v>1</v>
      </c>
      <c r="D306" s="5">
        <v>24.99</v>
      </c>
      <c r="E306" s="4" t="s">
        <v>4294</v>
      </c>
      <c r="F306" s="3" t="s">
        <v>5793</v>
      </c>
      <c r="G306" s="7" t="s">
        <v>5598</v>
      </c>
      <c r="H306" s="3" t="s">
        <v>4064</v>
      </c>
      <c r="I306" s="3" t="s">
        <v>4065</v>
      </c>
      <c r="J306" s="3" t="s">
        <v>5536</v>
      </c>
      <c r="K306" s="3" t="s">
        <v>5727</v>
      </c>
      <c r="L306" s="8" t="str">
        <f>HYPERLINK("http://slimages.macys.com/is/image/MCY/12808260 ")</f>
        <v xml:space="preserve">http://slimages.macys.com/is/image/MCY/12808260 </v>
      </c>
    </row>
    <row r="307" spans="1:12" ht="24.75" x14ac:dyDescent="0.25">
      <c r="A307" s="6" t="s">
        <v>4295</v>
      </c>
      <c r="B307" s="3" t="s">
        <v>4296</v>
      </c>
      <c r="C307" s="4">
        <v>1</v>
      </c>
      <c r="D307" s="5">
        <v>29.99</v>
      </c>
      <c r="E307" s="4">
        <v>10008595200</v>
      </c>
      <c r="F307" s="3" t="s">
        <v>5552</v>
      </c>
      <c r="G307" s="7" t="s">
        <v>6252</v>
      </c>
      <c r="H307" s="3" t="s">
        <v>6652</v>
      </c>
      <c r="I307" s="3" t="s">
        <v>4297</v>
      </c>
      <c r="J307" s="3" t="s">
        <v>5536</v>
      </c>
      <c r="K307" s="3" t="s">
        <v>6295</v>
      </c>
      <c r="L307" s="8" t="str">
        <f>HYPERLINK("http://slimages.macys.com/is/image/MCY/15611976 ")</f>
        <v xml:space="preserve">http://slimages.macys.com/is/image/MCY/15611976 </v>
      </c>
    </row>
    <row r="308" spans="1:12" ht="24.75" x14ac:dyDescent="0.25">
      <c r="A308" s="6" t="s">
        <v>4298</v>
      </c>
      <c r="B308" s="3" t="s">
        <v>4296</v>
      </c>
      <c r="C308" s="4">
        <v>1</v>
      </c>
      <c r="D308" s="5">
        <v>29.99</v>
      </c>
      <c r="E308" s="4">
        <v>10008595200</v>
      </c>
      <c r="F308" s="3" t="s">
        <v>6010</v>
      </c>
      <c r="G308" s="7" t="s">
        <v>6252</v>
      </c>
      <c r="H308" s="3" t="s">
        <v>6652</v>
      </c>
      <c r="I308" s="3" t="s">
        <v>4297</v>
      </c>
      <c r="J308" s="3" t="s">
        <v>5536</v>
      </c>
      <c r="K308" s="3" t="s">
        <v>6295</v>
      </c>
      <c r="L308" s="8" t="str">
        <f>HYPERLINK("http://slimages.macys.com/is/image/MCY/15611976 ")</f>
        <v xml:space="preserve">http://slimages.macys.com/is/image/MCY/15611976 </v>
      </c>
    </row>
    <row r="309" spans="1:12" ht="24.75" x14ac:dyDescent="0.25">
      <c r="A309" s="6" t="s">
        <v>4299</v>
      </c>
      <c r="B309" s="3" t="s">
        <v>4300</v>
      </c>
      <c r="C309" s="4">
        <v>1</v>
      </c>
      <c r="D309" s="5">
        <v>29.99</v>
      </c>
      <c r="E309" s="4">
        <v>10008595800</v>
      </c>
      <c r="F309" s="3" t="s">
        <v>5532</v>
      </c>
      <c r="G309" s="7" t="s">
        <v>6252</v>
      </c>
      <c r="H309" s="3" t="s">
        <v>6652</v>
      </c>
      <c r="I309" s="3" t="s">
        <v>4297</v>
      </c>
      <c r="J309" s="3" t="s">
        <v>5536</v>
      </c>
      <c r="K309" s="3" t="s">
        <v>6295</v>
      </c>
      <c r="L309" s="8" t="str">
        <f>HYPERLINK("http://slimages.macys.com/is/image/MCY/15362504 ")</f>
        <v xml:space="preserve">http://slimages.macys.com/is/image/MCY/15362504 </v>
      </c>
    </row>
    <row r="310" spans="1:12" ht="24.75" x14ac:dyDescent="0.25">
      <c r="A310" s="6" t="s">
        <v>4301</v>
      </c>
      <c r="B310" s="3" t="s">
        <v>4302</v>
      </c>
      <c r="C310" s="4">
        <v>1</v>
      </c>
      <c r="D310" s="5">
        <v>29.99</v>
      </c>
      <c r="E310" s="4">
        <v>10008470100</v>
      </c>
      <c r="F310" s="3" t="s">
        <v>5552</v>
      </c>
      <c r="G310" s="7" t="s">
        <v>6252</v>
      </c>
      <c r="H310" s="3" t="s">
        <v>6652</v>
      </c>
      <c r="I310" s="3" t="s">
        <v>4297</v>
      </c>
      <c r="J310" s="3" t="s">
        <v>5536</v>
      </c>
      <c r="K310" s="3" t="s">
        <v>6303</v>
      </c>
      <c r="L310" s="8" t="str">
        <f>HYPERLINK("http://slimages.macys.com/is/image/MCY/15133119 ")</f>
        <v xml:space="preserve">http://slimages.macys.com/is/image/MCY/15133119 </v>
      </c>
    </row>
    <row r="311" spans="1:12" ht="24.75" x14ac:dyDescent="0.25">
      <c r="A311" s="6" t="s">
        <v>4303</v>
      </c>
      <c r="B311" s="3" t="s">
        <v>4304</v>
      </c>
      <c r="C311" s="4">
        <v>1</v>
      </c>
      <c r="D311" s="5">
        <v>29.99</v>
      </c>
      <c r="E311" s="4">
        <v>10008595300</v>
      </c>
      <c r="F311" s="3" t="s">
        <v>5532</v>
      </c>
      <c r="G311" s="7" t="s">
        <v>6252</v>
      </c>
      <c r="H311" s="3" t="s">
        <v>6652</v>
      </c>
      <c r="I311" s="3" t="s">
        <v>4297</v>
      </c>
      <c r="J311" s="3" t="s">
        <v>5536</v>
      </c>
      <c r="K311" s="3" t="s">
        <v>6295</v>
      </c>
      <c r="L311" s="8" t="str">
        <f>HYPERLINK("http://slimages.macys.com/is/image/MCY/15362488 ")</f>
        <v xml:space="preserve">http://slimages.macys.com/is/image/MCY/15362488 </v>
      </c>
    </row>
    <row r="312" spans="1:12" ht="24.75" x14ac:dyDescent="0.25">
      <c r="A312" s="6" t="s">
        <v>4305</v>
      </c>
      <c r="B312" s="3" t="s">
        <v>4306</v>
      </c>
      <c r="C312" s="4">
        <v>1</v>
      </c>
      <c r="D312" s="5">
        <v>29.99</v>
      </c>
      <c r="E312" s="4">
        <v>10008595700</v>
      </c>
      <c r="F312" s="3" t="s">
        <v>5552</v>
      </c>
      <c r="G312" s="7" t="s">
        <v>6252</v>
      </c>
      <c r="H312" s="3" t="s">
        <v>6652</v>
      </c>
      <c r="I312" s="3" t="s">
        <v>4297</v>
      </c>
      <c r="J312" s="3" t="s">
        <v>5536</v>
      </c>
      <c r="K312" s="3" t="s">
        <v>6295</v>
      </c>
      <c r="L312" s="8" t="str">
        <f>HYPERLINK("http://slimages.macys.com/is/image/MCY/15611912 ")</f>
        <v xml:space="preserve">http://slimages.macys.com/is/image/MCY/15611912 </v>
      </c>
    </row>
    <row r="313" spans="1:12" ht="24.75" x14ac:dyDescent="0.25">
      <c r="A313" s="6" t="s">
        <v>4307</v>
      </c>
      <c r="B313" s="3" t="s">
        <v>4304</v>
      </c>
      <c r="C313" s="4">
        <v>1</v>
      </c>
      <c r="D313" s="5">
        <v>29.99</v>
      </c>
      <c r="E313" s="4">
        <v>10008595300</v>
      </c>
      <c r="F313" s="3" t="s">
        <v>5552</v>
      </c>
      <c r="G313" s="7" t="s">
        <v>6252</v>
      </c>
      <c r="H313" s="3" t="s">
        <v>6652</v>
      </c>
      <c r="I313" s="3" t="s">
        <v>4297</v>
      </c>
      <c r="J313" s="3" t="s">
        <v>5536</v>
      </c>
      <c r="K313" s="3" t="s">
        <v>6295</v>
      </c>
      <c r="L313" s="8" t="str">
        <f>HYPERLINK("http://slimages.macys.com/is/image/MCY/15362488 ")</f>
        <v xml:space="preserve">http://slimages.macys.com/is/image/MCY/15362488 </v>
      </c>
    </row>
    <row r="314" spans="1:12" ht="24.75" x14ac:dyDescent="0.25">
      <c r="A314" s="6" t="s">
        <v>4308</v>
      </c>
      <c r="B314" s="3" t="s">
        <v>4304</v>
      </c>
      <c r="C314" s="4">
        <v>1</v>
      </c>
      <c r="D314" s="5">
        <v>29.99</v>
      </c>
      <c r="E314" s="4">
        <v>10008595300</v>
      </c>
      <c r="F314" s="3" t="s">
        <v>5661</v>
      </c>
      <c r="G314" s="7" t="s">
        <v>6252</v>
      </c>
      <c r="H314" s="3" t="s">
        <v>6652</v>
      </c>
      <c r="I314" s="3" t="s">
        <v>4297</v>
      </c>
      <c r="J314" s="3" t="s">
        <v>5536</v>
      </c>
      <c r="K314" s="3" t="s">
        <v>6295</v>
      </c>
      <c r="L314" s="8" t="str">
        <f>HYPERLINK("http://slimages.macys.com/is/image/MCY/15362488 ")</f>
        <v xml:space="preserve">http://slimages.macys.com/is/image/MCY/15362488 </v>
      </c>
    </row>
    <row r="315" spans="1:12" ht="24.75" x14ac:dyDescent="0.25">
      <c r="A315" s="6" t="s">
        <v>4309</v>
      </c>
      <c r="B315" s="3" t="s">
        <v>4310</v>
      </c>
      <c r="C315" s="4">
        <v>1</v>
      </c>
      <c r="D315" s="5">
        <v>29.99</v>
      </c>
      <c r="E315" s="4">
        <v>10007808700</v>
      </c>
      <c r="F315" s="3" t="s">
        <v>5661</v>
      </c>
      <c r="G315" s="7" t="s">
        <v>6252</v>
      </c>
      <c r="H315" s="3" t="s">
        <v>6652</v>
      </c>
      <c r="I315" s="3" t="s">
        <v>4297</v>
      </c>
      <c r="J315" s="3" t="s">
        <v>5536</v>
      </c>
      <c r="K315" s="3" t="s">
        <v>4311</v>
      </c>
      <c r="L315" s="8" t="str">
        <f>HYPERLINK("http://slimages.macys.com/is/image/MCY/15132836 ")</f>
        <v xml:space="preserve">http://slimages.macys.com/is/image/MCY/15132836 </v>
      </c>
    </row>
    <row r="316" spans="1:12" ht="24.75" x14ac:dyDescent="0.25">
      <c r="A316" s="6" t="s">
        <v>4312</v>
      </c>
      <c r="B316" s="3" t="s">
        <v>4300</v>
      </c>
      <c r="C316" s="4">
        <v>1</v>
      </c>
      <c r="D316" s="5">
        <v>29.99</v>
      </c>
      <c r="E316" s="4">
        <v>10008595800</v>
      </c>
      <c r="F316" s="3" t="s">
        <v>5661</v>
      </c>
      <c r="G316" s="7" t="s">
        <v>6252</v>
      </c>
      <c r="H316" s="3" t="s">
        <v>6652</v>
      </c>
      <c r="I316" s="3" t="s">
        <v>4297</v>
      </c>
      <c r="J316" s="3" t="s">
        <v>5536</v>
      </c>
      <c r="K316" s="3" t="s">
        <v>6295</v>
      </c>
      <c r="L316" s="8" t="str">
        <f>HYPERLINK("http://slimages.macys.com/is/image/MCY/15362504 ")</f>
        <v xml:space="preserve">http://slimages.macys.com/is/image/MCY/15362504 </v>
      </c>
    </row>
    <row r="317" spans="1:12" ht="24.75" x14ac:dyDescent="0.25">
      <c r="A317" s="6" t="s">
        <v>4313</v>
      </c>
      <c r="B317" s="3" t="s">
        <v>4306</v>
      </c>
      <c r="C317" s="4">
        <v>1</v>
      </c>
      <c r="D317" s="5">
        <v>29.99</v>
      </c>
      <c r="E317" s="4">
        <v>10008595700</v>
      </c>
      <c r="F317" s="3" t="s">
        <v>5661</v>
      </c>
      <c r="G317" s="7" t="s">
        <v>6252</v>
      </c>
      <c r="H317" s="3" t="s">
        <v>6652</v>
      </c>
      <c r="I317" s="3" t="s">
        <v>4297</v>
      </c>
      <c r="J317" s="3" t="s">
        <v>5536</v>
      </c>
      <c r="K317" s="3" t="s">
        <v>6295</v>
      </c>
      <c r="L317" s="8" t="str">
        <f>HYPERLINK("http://slimages.macys.com/is/image/MCY/15611912 ")</f>
        <v xml:space="preserve">http://slimages.macys.com/is/image/MCY/15611912 </v>
      </c>
    </row>
    <row r="318" spans="1:12" ht="24.75" x14ac:dyDescent="0.25">
      <c r="A318" s="6" t="s">
        <v>4314</v>
      </c>
      <c r="B318" s="3" t="s">
        <v>4296</v>
      </c>
      <c r="C318" s="4">
        <v>1</v>
      </c>
      <c r="D318" s="5">
        <v>29.99</v>
      </c>
      <c r="E318" s="4">
        <v>10008595200</v>
      </c>
      <c r="F318" s="3" t="s">
        <v>5532</v>
      </c>
      <c r="G318" s="7" t="s">
        <v>6252</v>
      </c>
      <c r="H318" s="3" t="s">
        <v>6652</v>
      </c>
      <c r="I318" s="3" t="s">
        <v>4297</v>
      </c>
      <c r="J318" s="3" t="s">
        <v>5536</v>
      </c>
      <c r="K318" s="3" t="s">
        <v>6295</v>
      </c>
      <c r="L318" s="8" t="str">
        <f>HYPERLINK("http://slimages.macys.com/is/image/MCY/15611976 ")</f>
        <v xml:space="preserve">http://slimages.macys.com/is/image/MCY/15611976 </v>
      </c>
    </row>
    <row r="319" spans="1:12" ht="24.75" x14ac:dyDescent="0.25">
      <c r="A319" s="6" t="s">
        <v>4315</v>
      </c>
      <c r="B319" s="3" t="s">
        <v>4306</v>
      </c>
      <c r="C319" s="4">
        <v>1</v>
      </c>
      <c r="D319" s="5">
        <v>29.99</v>
      </c>
      <c r="E319" s="4">
        <v>10008595700</v>
      </c>
      <c r="F319" s="3" t="s">
        <v>5532</v>
      </c>
      <c r="G319" s="7" t="s">
        <v>6252</v>
      </c>
      <c r="H319" s="3" t="s">
        <v>6652</v>
      </c>
      <c r="I319" s="3" t="s">
        <v>4297</v>
      </c>
      <c r="J319" s="3" t="s">
        <v>5536</v>
      </c>
      <c r="K319" s="3" t="s">
        <v>6295</v>
      </c>
      <c r="L319" s="8" t="str">
        <f>HYPERLINK("http://slimages.macys.com/is/image/MCY/15611912 ")</f>
        <v xml:space="preserve">http://slimages.macys.com/is/image/MCY/15611912 </v>
      </c>
    </row>
    <row r="320" spans="1:12" ht="24.75" x14ac:dyDescent="0.25">
      <c r="A320" s="6" t="s">
        <v>4316</v>
      </c>
      <c r="B320" s="3" t="s">
        <v>4317</v>
      </c>
      <c r="C320" s="4">
        <v>1</v>
      </c>
      <c r="D320" s="5">
        <v>19.5</v>
      </c>
      <c r="E320" s="4">
        <v>55623</v>
      </c>
      <c r="F320" s="3" t="s">
        <v>5793</v>
      </c>
      <c r="G320" s="7" t="s">
        <v>5596</v>
      </c>
      <c r="H320" s="3" t="s">
        <v>5794</v>
      </c>
      <c r="I320" s="3" t="s">
        <v>4084</v>
      </c>
      <c r="J320" s="3" t="s">
        <v>5536</v>
      </c>
      <c r="K320" s="3" t="s">
        <v>4318</v>
      </c>
      <c r="L320" s="8" t="str">
        <f>HYPERLINK("http://slimages.macys.com/is/image/MCY/11792104 ")</f>
        <v xml:space="preserve">http://slimages.macys.com/is/image/MCY/11792104 </v>
      </c>
    </row>
    <row r="321" spans="1:12" ht="24.75" x14ac:dyDescent="0.25">
      <c r="A321" s="6" t="s">
        <v>4319</v>
      </c>
      <c r="B321" s="3" t="s">
        <v>4320</v>
      </c>
      <c r="C321" s="4">
        <v>1</v>
      </c>
      <c r="D321" s="5">
        <v>19.989999999999998</v>
      </c>
      <c r="E321" s="4" t="s">
        <v>4321</v>
      </c>
      <c r="F321" s="3" t="s">
        <v>5793</v>
      </c>
      <c r="G321" s="7" t="s">
        <v>5596</v>
      </c>
      <c r="H321" s="3" t="s">
        <v>5794</v>
      </c>
      <c r="I321" s="3" t="s">
        <v>4322</v>
      </c>
      <c r="J321" s="3" t="s">
        <v>5536</v>
      </c>
      <c r="K321" s="3" t="s">
        <v>5549</v>
      </c>
      <c r="L321" s="8" t="str">
        <f>HYPERLINK("http://slimages.macys.com/is/image/MCY/10391703 ")</f>
        <v xml:space="preserve">http://slimages.macys.com/is/image/MCY/10391703 </v>
      </c>
    </row>
    <row r="322" spans="1:12" ht="24.75" x14ac:dyDescent="0.25">
      <c r="A322" s="6" t="s">
        <v>4323</v>
      </c>
      <c r="B322" s="3" t="s">
        <v>4324</v>
      </c>
      <c r="C322" s="4">
        <v>1</v>
      </c>
      <c r="D322" s="5">
        <v>19.5</v>
      </c>
      <c r="E322" s="4">
        <v>1014</v>
      </c>
      <c r="F322" s="3" t="s">
        <v>5566</v>
      </c>
      <c r="G322" s="7" t="s">
        <v>5596</v>
      </c>
      <c r="H322" s="3" t="s">
        <v>5794</v>
      </c>
      <c r="I322" s="3" t="s">
        <v>4325</v>
      </c>
      <c r="J322" s="3" t="s">
        <v>5536</v>
      </c>
      <c r="K322" s="3" t="s">
        <v>5553</v>
      </c>
      <c r="L322" s="8" t="str">
        <f>HYPERLINK("http://slimages.macys.com/is/image/MCY/1820712 ")</f>
        <v xml:space="preserve">http://slimages.macys.com/is/image/MCY/1820712 </v>
      </c>
    </row>
    <row r="323" spans="1:12" ht="24.75" x14ac:dyDescent="0.25">
      <c r="A323" s="6" t="s">
        <v>4326</v>
      </c>
      <c r="B323" s="3" t="s">
        <v>4324</v>
      </c>
      <c r="C323" s="4">
        <v>1</v>
      </c>
      <c r="D323" s="5">
        <v>19.5</v>
      </c>
      <c r="E323" s="4">
        <v>1014</v>
      </c>
      <c r="F323" s="3" t="s">
        <v>5566</v>
      </c>
      <c r="G323" s="7" t="s">
        <v>5596</v>
      </c>
      <c r="H323" s="3" t="s">
        <v>5794</v>
      </c>
      <c r="I323" s="3" t="s">
        <v>4325</v>
      </c>
      <c r="J323" s="3" t="s">
        <v>5536</v>
      </c>
      <c r="K323" s="3" t="s">
        <v>5553</v>
      </c>
      <c r="L323" s="8" t="str">
        <f>HYPERLINK("http://slimages.macys.com/is/image/MCY/1820712 ")</f>
        <v xml:space="preserve">http://slimages.macys.com/is/image/MCY/1820712 </v>
      </c>
    </row>
    <row r="324" spans="1:12" ht="24.75" x14ac:dyDescent="0.25">
      <c r="A324" s="6" t="s">
        <v>4327</v>
      </c>
      <c r="B324" s="3" t="s">
        <v>4328</v>
      </c>
      <c r="C324" s="4">
        <v>1</v>
      </c>
      <c r="D324" s="5">
        <v>23.34</v>
      </c>
      <c r="E324" s="4" t="s">
        <v>4329</v>
      </c>
      <c r="F324" s="3" t="s">
        <v>5532</v>
      </c>
      <c r="G324" s="7" t="s">
        <v>5898</v>
      </c>
      <c r="H324" s="3" t="s">
        <v>6280</v>
      </c>
      <c r="I324" s="3" t="s">
        <v>4330</v>
      </c>
      <c r="J324" s="3" t="s">
        <v>5536</v>
      </c>
      <c r="K324" s="3" t="s">
        <v>6338</v>
      </c>
      <c r="L324" s="8" t="str">
        <f>HYPERLINK("http://slimages.macys.com/is/image/MCY/15883535 ")</f>
        <v xml:space="preserve">http://slimages.macys.com/is/image/MCY/15883535 </v>
      </c>
    </row>
    <row r="325" spans="1:12" ht="24.75" x14ac:dyDescent="0.25">
      <c r="A325" s="6" t="s">
        <v>4331</v>
      </c>
      <c r="B325" s="3" t="s">
        <v>4332</v>
      </c>
      <c r="C325" s="4">
        <v>1</v>
      </c>
      <c r="D325" s="5">
        <v>20</v>
      </c>
      <c r="E325" s="4">
        <v>5149097</v>
      </c>
      <c r="F325" s="3" t="s">
        <v>5977</v>
      </c>
      <c r="G325" s="7" t="s">
        <v>5898</v>
      </c>
      <c r="H325" s="3" t="s">
        <v>4333</v>
      </c>
      <c r="I325" s="3" t="s">
        <v>4334</v>
      </c>
      <c r="J325" s="3" t="s">
        <v>5536</v>
      </c>
      <c r="K325" s="3" t="s">
        <v>5984</v>
      </c>
      <c r="L325" s="8" t="str">
        <f>HYPERLINK("http://slimages.macys.com/is/image/MCY/15433408 ")</f>
        <v xml:space="preserve">http://slimages.macys.com/is/image/MCY/15433408 </v>
      </c>
    </row>
    <row r="326" spans="1:12" x14ac:dyDescent="0.25">
      <c r="A326" s="6" t="s">
        <v>4335</v>
      </c>
      <c r="B326" s="3" t="s">
        <v>4336</v>
      </c>
      <c r="C326" s="4">
        <v>1</v>
      </c>
      <c r="D326" s="5">
        <v>20</v>
      </c>
      <c r="E326" s="4">
        <v>5149086</v>
      </c>
      <c r="F326" s="3" t="s">
        <v>5925</v>
      </c>
      <c r="G326" s="7" t="s">
        <v>5898</v>
      </c>
      <c r="H326" s="3" t="s">
        <v>4333</v>
      </c>
      <c r="I326" s="3" t="s">
        <v>4334</v>
      </c>
      <c r="J326" s="3" t="s">
        <v>5536</v>
      </c>
      <c r="K326" s="3" t="s">
        <v>5984</v>
      </c>
      <c r="L326" s="8" t="str">
        <f>HYPERLINK("http://slimages.macys.com/is/image/MCY/15434408 ")</f>
        <v xml:space="preserve">http://slimages.macys.com/is/image/MCY/15434408 </v>
      </c>
    </row>
    <row r="327" spans="1:12" x14ac:dyDescent="0.25">
      <c r="A327" s="6" t="s">
        <v>4337</v>
      </c>
      <c r="B327" s="3" t="s">
        <v>4336</v>
      </c>
      <c r="C327" s="4">
        <v>2</v>
      </c>
      <c r="D327" s="5">
        <v>40</v>
      </c>
      <c r="E327" s="4">
        <v>5149083</v>
      </c>
      <c r="F327" s="3" t="s">
        <v>5540</v>
      </c>
      <c r="G327" s="7" t="s">
        <v>5898</v>
      </c>
      <c r="H327" s="3" t="s">
        <v>4333</v>
      </c>
      <c r="I327" s="3" t="s">
        <v>4334</v>
      </c>
      <c r="J327" s="3" t="s">
        <v>5536</v>
      </c>
      <c r="K327" s="3" t="s">
        <v>5984</v>
      </c>
      <c r="L327" s="8" t="str">
        <f>HYPERLINK("http://slimages.macys.com/is/image/MCY/15434408 ")</f>
        <v xml:space="preserve">http://slimages.macys.com/is/image/MCY/15434408 </v>
      </c>
    </row>
    <row r="328" spans="1:12" ht="36.75" x14ac:dyDescent="0.25">
      <c r="A328" s="6" t="s">
        <v>4338</v>
      </c>
      <c r="B328" s="3" t="s">
        <v>4339</v>
      </c>
      <c r="C328" s="4">
        <v>2</v>
      </c>
      <c r="D328" s="5">
        <v>49.98</v>
      </c>
      <c r="E328" s="4" t="s">
        <v>4340</v>
      </c>
      <c r="F328" s="3" t="s">
        <v>5552</v>
      </c>
      <c r="G328" s="7" t="s">
        <v>5562</v>
      </c>
      <c r="H328" s="3" t="s">
        <v>6608</v>
      </c>
      <c r="I328" s="3" t="s">
        <v>6609</v>
      </c>
      <c r="J328" s="3" t="s">
        <v>5536</v>
      </c>
      <c r="K328" s="3" t="s">
        <v>4341</v>
      </c>
      <c r="L328" s="8" t="str">
        <f>HYPERLINK("http://slimages.macys.com/is/image/MCY/9843044 ")</f>
        <v xml:space="preserve">http://slimages.macys.com/is/image/MCY/9843044 </v>
      </c>
    </row>
    <row r="329" spans="1:12" ht="24.75" x14ac:dyDescent="0.25">
      <c r="A329" s="6" t="s">
        <v>4342</v>
      </c>
      <c r="B329" s="3" t="s">
        <v>4343</v>
      </c>
      <c r="C329" s="4">
        <v>1</v>
      </c>
      <c r="D329" s="5">
        <v>24.99</v>
      </c>
      <c r="E329" s="4" t="s">
        <v>4344</v>
      </c>
      <c r="F329" s="3" t="s">
        <v>5540</v>
      </c>
      <c r="G329" s="7" t="s">
        <v>5533</v>
      </c>
      <c r="H329" s="3" t="s">
        <v>6608</v>
      </c>
      <c r="I329" s="3" t="s">
        <v>6609</v>
      </c>
      <c r="J329" s="3" t="s">
        <v>5536</v>
      </c>
      <c r="K329" s="3" t="s">
        <v>6610</v>
      </c>
      <c r="L329" s="8" t="str">
        <f>HYPERLINK("http://slimages.macys.com/is/image/MCY/14311839 ")</f>
        <v xml:space="preserve">http://slimages.macys.com/is/image/MCY/14311839 </v>
      </c>
    </row>
    <row r="330" spans="1:12" ht="24.75" x14ac:dyDescent="0.25">
      <c r="A330" s="6" t="s">
        <v>4345</v>
      </c>
      <c r="B330" s="3" t="s">
        <v>4343</v>
      </c>
      <c r="C330" s="4">
        <v>2</v>
      </c>
      <c r="D330" s="5">
        <v>49.98</v>
      </c>
      <c r="E330" s="4" t="s">
        <v>4344</v>
      </c>
      <c r="F330" s="3" t="s">
        <v>5540</v>
      </c>
      <c r="G330" s="7" t="s">
        <v>5596</v>
      </c>
      <c r="H330" s="3" t="s">
        <v>6608</v>
      </c>
      <c r="I330" s="3" t="s">
        <v>6609</v>
      </c>
      <c r="J330" s="3" t="s">
        <v>5536</v>
      </c>
      <c r="K330" s="3" t="s">
        <v>6610</v>
      </c>
      <c r="L330" s="8" t="str">
        <f>HYPERLINK("http://slimages.macys.com/is/image/MCY/14311839 ")</f>
        <v xml:space="preserve">http://slimages.macys.com/is/image/MCY/14311839 </v>
      </c>
    </row>
    <row r="331" spans="1:12" ht="36.75" x14ac:dyDescent="0.25">
      <c r="A331" s="6" t="s">
        <v>4346</v>
      </c>
      <c r="B331" s="3" t="s">
        <v>4339</v>
      </c>
      <c r="C331" s="4">
        <v>1</v>
      </c>
      <c r="D331" s="5">
        <v>24.99</v>
      </c>
      <c r="E331" s="4" t="s">
        <v>4340</v>
      </c>
      <c r="F331" s="3" t="s">
        <v>5552</v>
      </c>
      <c r="G331" s="7" t="s">
        <v>5533</v>
      </c>
      <c r="H331" s="3" t="s">
        <v>6608</v>
      </c>
      <c r="I331" s="3" t="s">
        <v>6609</v>
      </c>
      <c r="J331" s="3" t="s">
        <v>5536</v>
      </c>
      <c r="K331" s="3" t="s">
        <v>4341</v>
      </c>
      <c r="L331" s="8" t="str">
        <f>HYPERLINK("http://slimages.macys.com/is/image/MCY/9843044 ")</f>
        <v xml:space="preserve">http://slimages.macys.com/is/image/MCY/9843044 </v>
      </c>
    </row>
    <row r="332" spans="1:12" ht="36.75" x14ac:dyDescent="0.25">
      <c r="A332" s="6" t="s">
        <v>4347</v>
      </c>
      <c r="B332" s="3" t="s">
        <v>4339</v>
      </c>
      <c r="C332" s="4">
        <v>3</v>
      </c>
      <c r="D332" s="5">
        <v>74.97</v>
      </c>
      <c r="E332" s="4" t="s">
        <v>4340</v>
      </c>
      <c r="F332" s="3" t="s">
        <v>5552</v>
      </c>
      <c r="G332" s="7" t="s">
        <v>5596</v>
      </c>
      <c r="H332" s="3" t="s">
        <v>6608</v>
      </c>
      <c r="I332" s="3" t="s">
        <v>6609</v>
      </c>
      <c r="J332" s="3" t="s">
        <v>5536</v>
      </c>
      <c r="K332" s="3" t="s">
        <v>4341</v>
      </c>
      <c r="L332" s="8" t="str">
        <f>HYPERLINK("http://slimages.macys.com/is/image/MCY/9843044 ")</f>
        <v xml:space="preserve">http://slimages.macys.com/is/image/MCY/9843044 </v>
      </c>
    </row>
    <row r="333" spans="1:12" ht="36.75" x14ac:dyDescent="0.25">
      <c r="A333" s="6" t="s">
        <v>4348</v>
      </c>
      <c r="B333" s="3" t="s">
        <v>4349</v>
      </c>
      <c r="C333" s="4">
        <v>1</v>
      </c>
      <c r="D333" s="5">
        <v>21.5</v>
      </c>
      <c r="E333" s="4" t="s">
        <v>4350</v>
      </c>
      <c r="F333" s="3" t="s">
        <v>5540</v>
      </c>
      <c r="G333" s="7" t="s">
        <v>5898</v>
      </c>
      <c r="H333" s="3" t="s">
        <v>4141</v>
      </c>
      <c r="I333" s="3" t="s">
        <v>4351</v>
      </c>
      <c r="J333" s="3" t="s">
        <v>5536</v>
      </c>
      <c r="K333" s="3" t="s">
        <v>4352</v>
      </c>
      <c r="L333" s="8" t="str">
        <f>HYPERLINK("http://slimages.macys.com/is/image/MCY/13324845 ")</f>
        <v xml:space="preserve">http://slimages.macys.com/is/image/MCY/13324845 </v>
      </c>
    </row>
    <row r="334" spans="1:12" x14ac:dyDescent="0.25">
      <c r="A334" s="6" t="s">
        <v>4353</v>
      </c>
      <c r="B334" s="3" t="s">
        <v>4354</v>
      </c>
      <c r="C334" s="4">
        <v>1</v>
      </c>
      <c r="D334" s="5">
        <v>24.99</v>
      </c>
      <c r="E334" s="4" t="s">
        <v>4355</v>
      </c>
      <c r="F334" s="3" t="s">
        <v>5661</v>
      </c>
      <c r="G334" s="7" t="s">
        <v>5560</v>
      </c>
      <c r="H334" s="3" t="s">
        <v>6065</v>
      </c>
      <c r="I334" s="3" t="s">
        <v>6066</v>
      </c>
      <c r="J334" s="3" t="s">
        <v>5536</v>
      </c>
      <c r="K334" s="3" t="s">
        <v>6157</v>
      </c>
      <c r="L334" s="8" t="str">
        <f>HYPERLINK("http://slimages.macys.com/is/image/MCY/10204579 ")</f>
        <v xml:space="preserve">http://slimages.macys.com/is/image/MCY/10204579 </v>
      </c>
    </row>
    <row r="335" spans="1:12" ht="24.75" x14ac:dyDescent="0.25">
      <c r="A335" s="6" t="s">
        <v>4356</v>
      </c>
      <c r="B335" s="3" t="s">
        <v>4357</v>
      </c>
      <c r="C335" s="4">
        <v>1</v>
      </c>
      <c r="D335" s="5">
        <v>29.99</v>
      </c>
      <c r="E335" s="4">
        <v>100015428</v>
      </c>
      <c r="F335" s="3" t="s">
        <v>5540</v>
      </c>
      <c r="G335" s="7" t="s">
        <v>5533</v>
      </c>
      <c r="H335" s="3" t="s">
        <v>6003</v>
      </c>
      <c r="I335" s="3" t="s">
        <v>6004</v>
      </c>
      <c r="J335" s="3" t="s">
        <v>5536</v>
      </c>
      <c r="K335" s="3" t="s">
        <v>6494</v>
      </c>
      <c r="L335" s="8" t="str">
        <f t="shared" ref="L335:L345" si="3">HYPERLINK("http://slimages.macys.com/is/image/MCY/8898603 ")</f>
        <v xml:space="preserve">http://slimages.macys.com/is/image/MCY/8898603 </v>
      </c>
    </row>
    <row r="336" spans="1:12" ht="24.75" x14ac:dyDescent="0.25">
      <c r="A336" s="6" t="s">
        <v>4358</v>
      </c>
      <c r="B336" s="3" t="s">
        <v>4357</v>
      </c>
      <c r="C336" s="4">
        <v>1</v>
      </c>
      <c r="D336" s="5">
        <v>29.99</v>
      </c>
      <c r="E336" s="4">
        <v>100015428</v>
      </c>
      <c r="F336" s="3" t="s">
        <v>5578</v>
      </c>
      <c r="G336" s="7" t="s">
        <v>5560</v>
      </c>
      <c r="H336" s="3" t="s">
        <v>6003</v>
      </c>
      <c r="I336" s="3" t="s">
        <v>6004</v>
      </c>
      <c r="J336" s="3" t="s">
        <v>5536</v>
      </c>
      <c r="K336" s="3" t="s">
        <v>6494</v>
      </c>
      <c r="L336" s="8" t="str">
        <f t="shared" si="3"/>
        <v xml:space="preserve">http://slimages.macys.com/is/image/MCY/8898603 </v>
      </c>
    </row>
    <row r="337" spans="1:12" ht="24.75" x14ac:dyDescent="0.25">
      <c r="A337" s="6" t="s">
        <v>4359</v>
      </c>
      <c r="B337" s="3" t="s">
        <v>4357</v>
      </c>
      <c r="C337" s="4">
        <v>2</v>
      </c>
      <c r="D337" s="5">
        <v>59.98</v>
      </c>
      <c r="E337" s="4">
        <v>100015428</v>
      </c>
      <c r="F337" s="3" t="s">
        <v>5578</v>
      </c>
      <c r="G337" s="7" t="s">
        <v>5596</v>
      </c>
      <c r="H337" s="3" t="s">
        <v>6003</v>
      </c>
      <c r="I337" s="3" t="s">
        <v>6004</v>
      </c>
      <c r="J337" s="3" t="s">
        <v>5536</v>
      </c>
      <c r="K337" s="3" t="s">
        <v>6494</v>
      </c>
      <c r="L337" s="8" t="str">
        <f t="shared" si="3"/>
        <v xml:space="preserve">http://slimages.macys.com/is/image/MCY/8898603 </v>
      </c>
    </row>
    <row r="338" spans="1:12" ht="24.75" x14ac:dyDescent="0.25">
      <c r="A338" s="6" t="s">
        <v>4360</v>
      </c>
      <c r="B338" s="3" t="s">
        <v>4357</v>
      </c>
      <c r="C338" s="4">
        <v>1</v>
      </c>
      <c r="D338" s="5">
        <v>29.99</v>
      </c>
      <c r="E338" s="4">
        <v>100015428</v>
      </c>
      <c r="F338" s="3" t="s">
        <v>5540</v>
      </c>
      <c r="G338" s="7" t="s">
        <v>5598</v>
      </c>
      <c r="H338" s="3" t="s">
        <v>6003</v>
      </c>
      <c r="I338" s="3" t="s">
        <v>6004</v>
      </c>
      <c r="J338" s="3" t="s">
        <v>5536</v>
      </c>
      <c r="K338" s="3" t="s">
        <v>6494</v>
      </c>
      <c r="L338" s="8" t="str">
        <f t="shared" si="3"/>
        <v xml:space="preserve">http://slimages.macys.com/is/image/MCY/8898603 </v>
      </c>
    </row>
    <row r="339" spans="1:12" ht="24.75" x14ac:dyDescent="0.25">
      <c r="A339" s="6" t="s">
        <v>4361</v>
      </c>
      <c r="B339" s="3" t="s">
        <v>4357</v>
      </c>
      <c r="C339" s="4">
        <v>2</v>
      </c>
      <c r="D339" s="5">
        <v>59.98</v>
      </c>
      <c r="E339" s="4">
        <v>100015428</v>
      </c>
      <c r="F339" s="3" t="s">
        <v>5820</v>
      </c>
      <c r="G339" s="7" t="s">
        <v>5562</v>
      </c>
      <c r="H339" s="3" t="s">
        <v>6003</v>
      </c>
      <c r="I339" s="3" t="s">
        <v>6004</v>
      </c>
      <c r="J339" s="3" t="s">
        <v>5536</v>
      </c>
      <c r="K339" s="3" t="s">
        <v>6494</v>
      </c>
      <c r="L339" s="8" t="str">
        <f t="shared" si="3"/>
        <v xml:space="preserve">http://slimages.macys.com/is/image/MCY/8898603 </v>
      </c>
    </row>
    <row r="340" spans="1:12" ht="24.75" x14ac:dyDescent="0.25">
      <c r="A340" s="6" t="s">
        <v>4362</v>
      </c>
      <c r="B340" s="3" t="s">
        <v>4357</v>
      </c>
      <c r="C340" s="4">
        <v>1</v>
      </c>
      <c r="D340" s="5">
        <v>29.99</v>
      </c>
      <c r="E340" s="4">
        <v>100015428</v>
      </c>
      <c r="F340" s="3" t="s">
        <v>5578</v>
      </c>
      <c r="G340" s="7" t="s">
        <v>5582</v>
      </c>
      <c r="H340" s="3" t="s">
        <v>6003</v>
      </c>
      <c r="I340" s="3" t="s">
        <v>6004</v>
      </c>
      <c r="J340" s="3" t="s">
        <v>5536</v>
      </c>
      <c r="K340" s="3" t="s">
        <v>6494</v>
      </c>
      <c r="L340" s="8" t="str">
        <f t="shared" si="3"/>
        <v xml:space="preserve">http://slimages.macys.com/is/image/MCY/8898603 </v>
      </c>
    </row>
    <row r="341" spans="1:12" ht="24.75" x14ac:dyDescent="0.25">
      <c r="A341" s="6" t="s">
        <v>4363</v>
      </c>
      <c r="B341" s="3" t="s">
        <v>4357</v>
      </c>
      <c r="C341" s="4">
        <v>1</v>
      </c>
      <c r="D341" s="5">
        <v>29.99</v>
      </c>
      <c r="E341" s="4">
        <v>100015428</v>
      </c>
      <c r="F341" s="3" t="s">
        <v>5820</v>
      </c>
      <c r="G341" s="7" t="s">
        <v>5533</v>
      </c>
      <c r="H341" s="3" t="s">
        <v>6003</v>
      </c>
      <c r="I341" s="3" t="s">
        <v>6004</v>
      </c>
      <c r="J341" s="3" t="s">
        <v>5536</v>
      </c>
      <c r="K341" s="3" t="s">
        <v>6494</v>
      </c>
      <c r="L341" s="8" t="str">
        <f t="shared" si="3"/>
        <v xml:space="preserve">http://slimages.macys.com/is/image/MCY/8898603 </v>
      </c>
    </row>
    <row r="342" spans="1:12" ht="24.75" x14ac:dyDescent="0.25">
      <c r="A342" s="6" t="s">
        <v>4364</v>
      </c>
      <c r="B342" s="3" t="s">
        <v>4357</v>
      </c>
      <c r="C342" s="4">
        <v>7</v>
      </c>
      <c r="D342" s="5">
        <v>209.93</v>
      </c>
      <c r="E342" s="4">
        <v>100015428</v>
      </c>
      <c r="F342" s="3" t="s">
        <v>5578</v>
      </c>
      <c r="G342" s="7" t="s">
        <v>5562</v>
      </c>
      <c r="H342" s="3" t="s">
        <v>6003</v>
      </c>
      <c r="I342" s="3" t="s">
        <v>6004</v>
      </c>
      <c r="J342" s="3" t="s">
        <v>5536</v>
      </c>
      <c r="K342" s="3" t="s">
        <v>6494</v>
      </c>
      <c r="L342" s="8" t="str">
        <f t="shared" si="3"/>
        <v xml:space="preserve">http://slimages.macys.com/is/image/MCY/8898603 </v>
      </c>
    </row>
    <row r="343" spans="1:12" ht="24.75" x14ac:dyDescent="0.25">
      <c r="A343" s="6" t="s">
        <v>4365</v>
      </c>
      <c r="B343" s="3" t="s">
        <v>4357</v>
      </c>
      <c r="C343" s="4">
        <v>1</v>
      </c>
      <c r="D343" s="5">
        <v>29.99</v>
      </c>
      <c r="E343" s="4">
        <v>100015428</v>
      </c>
      <c r="F343" s="3" t="s">
        <v>5820</v>
      </c>
      <c r="G343" s="7" t="s">
        <v>5598</v>
      </c>
      <c r="H343" s="3" t="s">
        <v>6003</v>
      </c>
      <c r="I343" s="3" t="s">
        <v>6004</v>
      </c>
      <c r="J343" s="3" t="s">
        <v>5536</v>
      </c>
      <c r="K343" s="3" t="s">
        <v>6494</v>
      </c>
      <c r="L343" s="8" t="str">
        <f t="shared" si="3"/>
        <v xml:space="preserve">http://slimages.macys.com/is/image/MCY/8898603 </v>
      </c>
    </row>
    <row r="344" spans="1:12" ht="24.75" x14ac:dyDescent="0.25">
      <c r="A344" s="6" t="s">
        <v>4366</v>
      </c>
      <c r="B344" s="3" t="s">
        <v>4357</v>
      </c>
      <c r="C344" s="4">
        <v>3</v>
      </c>
      <c r="D344" s="5">
        <v>89.97</v>
      </c>
      <c r="E344" s="4">
        <v>100015428</v>
      </c>
      <c r="F344" s="3" t="s">
        <v>5820</v>
      </c>
      <c r="G344" s="7" t="s">
        <v>5582</v>
      </c>
      <c r="H344" s="3" t="s">
        <v>6003</v>
      </c>
      <c r="I344" s="3" t="s">
        <v>6004</v>
      </c>
      <c r="J344" s="3" t="s">
        <v>5536</v>
      </c>
      <c r="K344" s="3" t="s">
        <v>6494</v>
      </c>
      <c r="L344" s="8" t="str">
        <f t="shared" si="3"/>
        <v xml:space="preserve">http://slimages.macys.com/is/image/MCY/8898603 </v>
      </c>
    </row>
    <row r="345" spans="1:12" ht="24.75" x14ac:dyDescent="0.25">
      <c r="A345" s="6" t="s">
        <v>4367</v>
      </c>
      <c r="B345" s="3" t="s">
        <v>4357</v>
      </c>
      <c r="C345" s="4">
        <v>3</v>
      </c>
      <c r="D345" s="5">
        <v>89.97</v>
      </c>
      <c r="E345" s="4">
        <v>100015428</v>
      </c>
      <c r="F345" s="3" t="s">
        <v>5578</v>
      </c>
      <c r="G345" s="7" t="s">
        <v>5598</v>
      </c>
      <c r="H345" s="3" t="s">
        <v>6003</v>
      </c>
      <c r="I345" s="3" t="s">
        <v>6004</v>
      </c>
      <c r="J345" s="3" t="s">
        <v>5536</v>
      </c>
      <c r="K345" s="3" t="s">
        <v>6494</v>
      </c>
      <c r="L345" s="8" t="str">
        <f t="shared" si="3"/>
        <v xml:space="preserve">http://slimages.macys.com/is/image/MCY/8898603 </v>
      </c>
    </row>
    <row r="346" spans="1:12" ht="24.75" x14ac:dyDescent="0.25">
      <c r="A346" s="6" t="s">
        <v>4368</v>
      </c>
      <c r="B346" s="3" t="s">
        <v>4369</v>
      </c>
      <c r="C346" s="4">
        <v>1</v>
      </c>
      <c r="D346" s="5">
        <v>34.299999999999997</v>
      </c>
      <c r="E346" s="4" t="s">
        <v>4370</v>
      </c>
      <c r="F346" s="3" t="s">
        <v>5661</v>
      </c>
      <c r="G346" s="7" t="s">
        <v>5799</v>
      </c>
      <c r="H346" s="3" t="s">
        <v>6131</v>
      </c>
      <c r="I346" s="3" t="s">
        <v>6204</v>
      </c>
      <c r="J346" s="3" t="s">
        <v>5536</v>
      </c>
      <c r="K346" s="3" t="s">
        <v>4371</v>
      </c>
      <c r="L346" s="8" t="str">
        <f>HYPERLINK("http://slimages.macys.com/is/image/MCY/11452278 ")</f>
        <v xml:space="preserve">http://slimages.macys.com/is/image/MCY/11452278 </v>
      </c>
    </row>
    <row r="347" spans="1:12" ht="24.75" x14ac:dyDescent="0.25">
      <c r="A347" s="6" t="s">
        <v>4372</v>
      </c>
      <c r="B347" s="3" t="s">
        <v>4369</v>
      </c>
      <c r="C347" s="4">
        <v>2</v>
      </c>
      <c r="D347" s="5">
        <v>68.599999999999994</v>
      </c>
      <c r="E347" s="4" t="s">
        <v>4370</v>
      </c>
      <c r="F347" s="3" t="s">
        <v>5661</v>
      </c>
      <c r="G347" s="7" t="s">
        <v>6491</v>
      </c>
      <c r="H347" s="3" t="s">
        <v>6131</v>
      </c>
      <c r="I347" s="3" t="s">
        <v>6204</v>
      </c>
      <c r="J347" s="3" t="s">
        <v>5536</v>
      </c>
      <c r="K347" s="3" t="s">
        <v>4371</v>
      </c>
      <c r="L347" s="8" t="str">
        <f>HYPERLINK("http://slimages.macys.com/is/image/MCY/11452278 ")</f>
        <v xml:space="preserve">http://slimages.macys.com/is/image/MCY/11452278 </v>
      </c>
    </row>
    <row r="348" spans="1:12" ht="24.75" x14ac:dyDescent="0.25">
      <c r="A348" s="6" t="s">
        <v>4373</v>
      </c>
      <c r="B348" s="3" t="s">
        <v>4374</v>
      </c>
      <c r="C348" s="4">
        <v>1</v>
      </c>
      <c r="D348" s="5">
        <v>20</v>
      </c>
      <c r="E348" s="4" t="s">
        <v>4375</v>
      </c>
      <c r="F348" s="3" t="s">
        <v>5616</v>
      </c>
      <c r="G348" s="7" t="s">
        <v>6252</v>
      </c>
      <c r="H348" s="3" t="s">
        <v>5899</v>
      </c>
      <c r="I348" s="3" t="s">
        <v>6800</v>
      </c>
      <c r="J348" s="3" t="s">
        <v>5536</v>
      </c>
      <c r="K348" s="3" t="s">
        <v>5727</v>
      </c>
      <c r="L348" s="8" t="str">
        <f>HYPERLINK("http://slimages.macys.com/is/image/MCY/14723266 ")</f>
        <v xml:space="preserve">http://slimages.macys.com/is/image/MCY/14723266 </v>
      </c>
    </row>
    <row r="349" spans="1:12" ht="24.75" x14ac:dyDescent="0.25">
      <c r="A349" s="6" t="s">
        <v>4376</v>
      </c>
      <c r="B349" s="3" t="s">
        <v>4377</v>
      </c>
      <c r="C349" s="4">
        <v>5</v>
      </c>
      <c r="D349" s="5">
        <v>84.95</v>
      </c>
      <c r="E349" s="4" t="s">
        <v>4378</v>
      </c>
      <c r="F349" s="3" t="s">
        <v>5803</v>
      </c>
      <c r="G349" s="7" t="s">
        <v>5596</v>
      </c>
      <c r="H349" s="3" t="s">
        <v>6805</v>
      </c>
      <c r="I349" s="3" t="s">
        <v>4379</v>
      </c>
      <c r="J349" s="3" t="s">
        <v>4380</v>
      </c>
      <c r="K349" s="3" t="s">
        <v>6092</v>
      </c>
      <c r="L349" s="8" t="str">
        <f>HYPERLINK("http://slimages.macys.com/is/image/MCY/8099774 ")</f>
        <v xml:space="preserve">http://slimages.macys.com/is/image/MCY/8099774 </v>
      </c>
    </row>
    <row r="350" spans="1:12" ht="24.75" x14ac:dyDescent="0.25">
      <c r="A350" s="6" t="s">
        <v>4381</v>
      </c>
      <c r="B350" s="3" t="s">
        <v>4382</v>
      </c>
      <c r="C350" s="4">
        <v>1</v>
      </c>
      <c r="D350" s="5">
        <v>16.989999999999998</v>
      </c>
      <c r="E350" s="4" t="s">
        <v>4383</v>
      </c>
      <c r="F350" s="3" t="s">
        <v>5783</v>
      </c>
      <c r="G350" s="7" t="s">
        <v>5596</v>
      </c>
      <c r="H350" s="3" t="s">
        <v>6805</v>
      </c>
      <c r="I350" s="3" t="s">
        <v>4379</v>
      </c>
      <c r="J350" s="3" t="s">
        <v>5536</v>
      </c>
      <c r="K350" s="3" t="s">
        <v>4384</v>
      </c>
      <c r="L350" s="8" t="str">
        <f>HYPERLINK("http://slimages.macys.com/is/image/MCY/3391159 ")</f>
        <v xml:space="preserve">http://slimages.macys.com/is/image/MCY/3391159 </v>
      </c>
    </row>
    <row r="351" spans="1:12" ht="24.75" x14ac:dyDescent="0.25">
      <c r="A351" s="6" t="s">
        <v>4385</v>
      </c>
      <c r="B351" s="3" t="s">
        <v>4386</v>
      </c>
      <c r="C351" s="4">
        <v>1</v>
      </c>
      <c r="D351" s="5">
        <v>16.989999999999998</v>
      </c>
      <c r="E351" s="4" t="s">
        <v>4387</v>
      </c>
      <c r="F351" s="3" t="s">
        <v>5783</v>
      </c>
      <c r="G351" s="7" t="s">
        <v>5596</v>
      </c>
      <c r="H351" s="3" t="s">
        <v>6805</v>
      </c>
      <c r="I351" s="3" t="s">
        <v>4379</v>
      </c>
      <c r="J351" s="3" t="s">
        <v>5536</v>
      </c>
      <c r="K351" s="3" t="s">
        <v>6092</v>
      </c>
      <c r="L351" s="8" t="str">
        <f>HYPERLINK("http://slimages.macys.com/is/image/MCY/8100038 ")</f>
        <v xml:space="preserve">http://slimages.macys.com/is/image/MCY/8100038 </v>
      </c>
    </row>
    <row r="352" spans="1:12" ht="24.75" x14ac:dyDescent="0.25">
      <c r="A352" s="6" t="s">
        <v>4388</v>
      </c>
      <c r="B352" s="3" t="s">
        <v>6660</v>
      </c>
      <c r="C352" s="4">
        <v>1</v>
      </c>
      <c r="D352" s="5">
        <v>29.99</v>
      </c>
      <c r="E352" s="4" t="s">
        <v>4389</v>
      </c>
      <c r="F352" s="3" t="s">
        <v>5540</v>
      </c>
      <c r="G352" s="7" t="s">
        <v>5598</v>
      </c>
      <c r="H352" s="3" t="s">
        <v>6065</v>
      </c>
      <c r="I352" s="3" t="s">
        <v>6066</v>
      </c>
      <c r="J352" s="3" t="s">
        <v>5536</v>
      </c>
      <c r="K352" s="3" t="s">
        <v>6638</v>
      </c>
      <c r="L352" s="8" t="str">
        <f>HYPERLINK("http://slimages.macys.com/is/image/MCY/8796569 ")</f>
        <v xml:space="preserve">http://slimages.macys.com/is/image/MCY/8796569 </v>
      </c>
    </row>
    <row r="353" spans="1:12" ht="24.75" x14ac:dyDescent="0.25">
      <c r="A353" s="6" t="s">
        <v>4390</v>
      </c>
      <c r="B353" s="3" t="s">
        <v>6660</v>
      </c>
      <c r="C353" s="4">
        <v>2</v>
      </c>
      <c r="D353" s="5">
        <v>59.98</v>
      </c>
      <c r="E353" s="4" t="s">
        <v>4389</v>
      </c>
      <c r="F353" s="3" t="s">
        <v>5540</v>
      </c>
      <c r="G353" s="7" t="s">
        <v>5560</v>
      </c>
      <c r="H353" s="3" t="s">
        <v>6065</v>
      </c>
      <c r="I353" s="3" t="s">
        <v>6066</v>
      </c>
      <c r="J353" s="3" t="s">
        <v>5536</v>
      </c>
      <c r="K353" s="3" t="s">
        <v>6638</v>
      </c>
      <c r="L353" s="8" t="str">
        <f>HYPERLINK("http://slimages.macys.com/is/image/MCY/8796569 ")</f>
        <v xml:space="preserve">http://slimages.macys.com/is/image/MCY/8796569 </v>
      </c>
    </row>
    <row r="354" spans="1:12" ht="24.75" x14ac:dyDescent="0.25">
      <c r="A354" s="6" t="s">
        <v>4391</v>
      </c>
      <c r="B354" s="3" t="s">
        <v>6660</v>
      </c>
      <c r="C354" s="4">
        <v>1</v>
      </c>
      <c r="D354" s="5">
        <v>29.99</v>
      </c>
      <c r="E354" s="4" t="s">
        <v>4392</v>
      </c>
      <c r="F354" s="3" t="s">
        <v>5540</v>
      </c>
      <c r="G354" s="7" t="s">
        <v>5598</v>
      </c>
      <c r="H354" s="3" t="s">
        <v>6065</v>
      </c>
      <c r="I354" s="3" t="s">
        <v>6066</v>
      </c>
      <c r="J354" s="3" t="s">
        <v>5536</v>
      </c>
      <c r="K354" s="3" t="s">
        <v>6638</v>
      </c>
      <c r="L354" s="8" t="str">
        <f>HYPERLINK("http://slimages.macys.com/is/image/MCY/8796569 ")</f>
        <v xml:space="preserve">http://slimages.macys.com/is/image/MCY/8796569 </v>
      </c>
    </row>
    <row r="355" spans="1:12" ht="36.75" x14ac:dyDescent="0.25">
      <c r="A355" s="6" t="s">
        <v>4393</v>
      </c>
      <c r="B355" s="3" t="s">
        <v>4394</v>
      </c>
      <c r="C355" s="4">
        <v>1</v>
      </c>
      <c r="D355" s="5">
        <v>21.99</v>
      </c>
      <c r="E355" s="4" t="s">
        <v>4395</v>
      </c>
      <c r="F355" s="3" t="s">
        <v>5803</v>
      </c>
      <c r="G355" s="7" t="s">
        <v>6491</v>
      </c>
      <c r="H355" s="3" t="s">
        <v>6627</v>
      </c>
      <c r="I355" s="3" t="s">
        <v>6628</v>
      </c>
      <c r="J355" s="3" t="s">
        <v>5536</v>
      </c>
      <c r="K355" s="3" t="s">
        <v>6172</v>
      </c>
      <c r="L355" s="8" t="str">
        <f>HYPERLINK("http://slimages.macys.com/is/image/MCY/9285313 ")</f>
        <v xml:space="preserve">http://slimages.macys.com/is/image/MCY/9285313 </v>
      </c>
    </row>
    <row r="356" spans="1:12" ht="48.75" x14ac:dyDescent="0.25">
      <c r="A356" s="6" t="s">
        <v>4396</v>
      </c>
      <c r="B356" s="3" t="s">
        <v>4397</v>
      </c>
      <c r="C356" s="4">
        <v>2</v>
      </c>
      <c r="D356" s="5">
        <v>29.98</v>
      </c>
      <c r="E356" s="4" t="s">
        <v>4398</v>
      </c>
      <c r="F356" s="3" t="s">
        <v>5625</v>
      </c>
      <c r="G356" s="7" t="s">
        <v>6252</v>
      </c>
      <c r="H356" s="3" t="s">
        <v>4141</v>
      </c>
      <c r="I356" s="3" t="s">
        <v>5843</v>
      </c>
      <c r="J356" s="3" t="s">
        <v>5536</v>
      </c>
      <c r="K356" s="3" t="s">
        <v>4399</v>
      </c>
      <c r="L356" s="8" t="str">
        <f>HYPERLINK("http://slimages.macys.com/is/image/MCY/15209608 ")</f>
        <v xml:space="preserve">http://slimages.macys.com/is/image/MCY/15209608 </v>
      </c>
    </row>
    <row r="357" spans="1:12" ht="24.75" x14ac:dyDescent="0.25">
      <c r="A357" s="6" t="s">
        <v>4400</v>
      </c>
      <c r="B357" s="3" t="s">
        <v>4401</v>
      </c>
      <c r="C357" s="4">
        <v>1</v>
      </c>
      <c r="D357" s="5">
        <v>20</v>
      </c>
      <c r="E357" s="4" t="s">
        <v>4402</v>
      </c>
      <c r="F357" s="3" t="s">
        <v>6300</v>
      </c>
      <c r="G357" s="7" t="s">
        <v>6252</v>
      </c>
      <c r="H357" s="3" t="s">
        <v>5899</v>
      </c>
      <c r="I357" s="3" t="s">
        <v>6800</v>
      </c>
      <c r="J357" s="3" t="s">
        <v>5536</v>
      </c>
      <c r="K357" s="3" t="s">
        <v>5727</v>
      </c>
      <c r="L357" s="8" t="str">
        <f>HYPERLINK("http://slimages.macys.com/is/image/MCY/14723133 ")</f>
        <v xml:space="preserve">http://slimages.macys.com/is/image/MCY/14723133 </v>
      </c>
    </row>
    <row r="358" spans="1:12" ht="24.75" x14ac:dyDescent="0.25">
      <c r="A358" s="6" t="s">
        <v>4403</v>
      </c>
      <c r="B358" s="3" t="s">
        <v>4404</v>
      </c>
      <c r="C358" s="4">
        <v>1</v>
      </c>
      <c r="D358" s="5">
        <v>20</v>
      </c>
      <c r="E358" s="4" t="s">
        <v>4405</v>
      </c>
      <c r="F358" s="3" t="s">
        <v>5661</v>
      </c>
      <c r="G358" s="7" t="s">
        <v>6252</v>
      </c>
      <c r="H358" s="3" t="s">
        <v>5899</v>
      </c>
      <c r="I358" s="3" t="s">
        <v>6800</v>
      </c>
      <c r="J358" s="3" t="s">
        <v>5536</v>
      </c>
      <c r="K358" s="3" t="s">
        <v>5727</v>
      </c>
      <c r="L358" s="8" t="str">
        <f>HYPERLINK("http://slimages.macys.com/is/image/MCY/14723133 ")</f>
        <v xml:space="preserve">http://slimages.macys.com/is/image/MCY/14723133 </v>
      </c>
    </row>
    <row r="359" spans="1:12" ht="24.75" x14ac:dyDescent="0.25">
      <c r="A359" s="6" t="s">
        <v>4406</v>
      </c>
      <c r="B359" s="3" t="s">
        <v>4407</v>
      </c>
      <c r="C359" s="4">
        <v>3</v>
      </c>
      <c r="D359" s="5">
        <v>63.75</v>
      </c>
      <c r="E359" s="4" t="s">
        <v>4408</v>
      </c>
      <c r="F359" s="3" t="s">
        <v>5820</v>
      </c>
      <c r="G359" s="7" t="s">
        <v>5898</v>
      </c>
      <c r="H359" s="3" t="s">
        <v>4141</v>
      </c>
      <c r="I359" s="3" t="s">
        <v>4351</v>
      </c>
      <c r="J359" s="3" t="s">
        <v>5536</v>
      </c>
      <c r="K359" s="3" t="s">
        <v>4409</v>
      </c>
      <c r="L359" s="8" t="str">
        <f>HYPERLINK("http://slimages.macys.com/is/image/MCY/9596980 ")</f>
        <v xml:space="preserve">http://slimages.macys.com/is/image/MCY/9596980 </v>
      </c>
    </row>
    <row r="360" spans="1:12" ht="24.75" x14ac:dyDescent="0.25">
      <c r="A360" s="6" t="s">
        <v>4410</v>
      </c>
      <c r="B360" s="3" t="s">
        <v>6688</v>
      </c>
      <c r="C360" s="4">
        <v>3</v>
      </c>
      <c r="D360" s="5">
        <v>59.97</v>
      </c>
      <c r="E360" s="4">
        <v>10008575200</v>
      </c>
      <c r="F360" s="3" t="s">
        <v>5610</v>
      </c>
      <c r="G360" s="7" t="s">
        <v>6252</v>
      </c>
      <c r="H360" s="3" t="s">
        <v>6652</v>
      </c>
      <c r="I360" s="3" t="s">
        <v>6686</v>
      </c>
      <c r="J360" s="3" t="s">
        <v>5536</v>
      </c>
      <c r="K360" s="3" t="s">
        <v>6316</v>
      </c>
      <c r="L360" s="8" t="str">
        <f>HYPERLINK("http://slimages.macys.com/is/image/MCY/15899484 ")</f>
        <v xml:space="preserve">http://slimages.macys.com/is/image/MCY/15899484 </v>
      </c>
    </row>
    <row r="361" spans="1:12" ht="24.75" x14ac:dyDescent="0.25">
      <c r="A361" s="6" t="s">
        <v>4411</v>
      </c>
      <c r="B361" s="3" t="s">
        <v>4412</v>
      </c>
      <c r="C361" s="4">
        <v>2</v>
      </c>
      <c r="D361" s="5">
        <v>39.979999999999997</v>
      </c>
      <c r="E361" s="4">
        <v>10008584400</v>
      </c>
      <c r="F361" s="3" t="s">
        <v>5661</v>
      </c>
      <c r="G361" s="7" t="s">
        <v>6252</v>
      </c>
      <c r="H361" s="3" t="s">
        <v>6652</v>
      </c>
      <c r="I361" s="3" t="s">
        <v>6686</v>
      </c>
      <c r="J361" s="3" t="s">
        <v>5536</v>
      </c>
      <c r="K361" s="3" t="s">
        <v>6316</v>
      </c>
      <c r="L361" s="8" t="str">
        <f>HYPERLINK("http://slimages.macys.com/is/image/MCY/15882571 ")</f>
        <v xml:space="preserve">http://slimages.macys.com/is/image/MCY/15882571 </v>
      </c>
    </row>
    <row r="362" spans="1:12" ht="24.75" x14ac:dyDescent="0.25">
      <c r="A362" s="6" t="s">
        <v>6734</v>
      </c>
      <c r="B362" s="3" t="s">
        <v>6688</v>
      </c>
      <c r="C362" s="4">
        <v>1</v>
      </c>
      <c r="D362" s="5">
        <v>19.989999999999998</v>
      </c>
      <c r="E362" s="4">
        <v>10008575200</v>
      </c>
      <c r="F362" s="3" t="s">
        <v>5532</v>
      </c>
      <c r="G362" s="7" t="s">
        <v>6252</v>
      </c>
      <c r="H362" s="3" t="s">
        <v>6652</v>
      </c>
      <c r="I362" s="3" t="s">
        <v>6686</v>
      </c>
      <c r="J362" s="3" t="s">
        <v>5536</v>
      </c>
      <c r="K362" s="3" t="s">
        <v>6316</v>
      </c>
      <c r="L362" s="8" t="str">
        <f>HYPERLINK("http://slimages.macys.com/is/image/MCY/15899484 ")</f>
        <v xml:space="preserve">http://slimages.macys.com/is/image/MCY/15899484 </v>
      </c>
    </row>
    <row r="363" spans="1:12" ht="24.75" x14ac:dyDescent="0.25">
      <c r="A363" s="6" t="s">
        <v>6695</v>
      </c>
      <c r="B363" s="3" t="s">
        <v>6696</v>
      </c>
      <c r="C363" s="4">
        <v>2</v>
      </c>
      <c r="D363" s="5">
        <v>39.979999999999997</v>
      </c>
      <c r="E363" s="4">
        <v>10005867200</v>
      </c>
      <c r="F363" s="3" t="s">
        <v>5661</v>
      </c>
      <c r="G363" s="7" t="s">
        <v>6252</v>
      </c>
      <c r="H363" s="3" t="s">
        <v>6652</v>
      </c>
      <c r="I363" s="3" t="s">
        <v>6686</v>
      </c>
      <c r="J363" s="3" t="s">
        <v>5536</v>
      </c>
      <c r="K363" s="3" t="s">
        <v>6338</v>
      </c>
      <c r="L363" s="8" t="str">
        <f>HYPERLINK("http://slimages.macys.com/is/image/MCY/11607330 ")</f>
        <v xml:space="preserve">http://slimages.macys.com/is/image/MCY/11607330 </v>
      </c>
    </row>
    <row r="364" spans="1:12" ht="24.75" x14ac:dyDescent="0.25">
      <c r="A364" s="6" t="s">
        <v>4413</v>
      </c>
      <c r="B364" s="3" t="s">
        <v>4414</v>
      </c>
      <c r="C364" s="4">
        <v>2</v>
      </c>
      <c r="D364" s="5">
        <v>39.979999999999997</v>
      </c>
      <c r="E364" s="4">
        <v>10008575300</v>
      </c>
      <c r="F364" s="3" t="s">
        <v>5532</v>
      </c>
      <c r="G364" s="7" t="s">
        <v>6252</v>
      </c>
      <c r="H364" s="3" t="s">
        <v>6652</v>
      </c>
      <c r="I364" s="3" t="s">
        <v>6686</v>
      </c>
      <c r="J364" s="3" t="s">
        <v>5536</v>
      </c>
      <c r="K364" s="3" t="s">
        <v>6316</v>
      </c>
      <c r="L364" s="8" t="str">
        <f>HYPERLINK("http://slimages.macys.com/is/image/MCY/15899629 ")</f>
        <v xml:space="preserve">http://slimages.macys.com/is/image/MCY/15899629 </v>
      </c>
    </row>
    <row r="365" spans="1:12" ht="24.75" x14ac:dyDescent="0.25">
      <c r="A365" s="6" t="s">
        <v>4415</v>
      </c>
      <c r="B365" s="3" t="s">
        <v>4416</v>
      </c>
      <c r="C365" s="4">
        <v>4</v>
      </c>
      <c r="D365" s="5">
        <v>79.959999999999994</v>
      </c>
      <c r="E365" s="4">
        <v>10005867100</v>
      </c>
      <c r="F365" s="3" t="s">
        <v>5552</v>
      </c>
      <c r="G365" s="7" t="s">
        <v>6252</v>
      </c>
      <c r="H365" s="3" t="s">
        <v>6652</v>
      </c>
      <c r="I365" s="3" t="s">
        <v>6686</v>
      </c>
      <c r="J365" s="3" t="s">
        <v>5536</v>
      </c>
      <c r="K365" s="3" t="s">
        <v>6338</v>
      </c>
      <c r="L365" s="8" t="str">
        <f>HYPERLINK("http://slimages.macys.com/is/image/MCY/11607278 ")</f>
        <v xml:space="preserve">http://slimages.macys.com/is/image/MCY/11607278 </v>
      </c>
    </row>
    <row r="366" spans="1:12" ht="24.75" x14ac:dyDescent="0.25">
      <c r="A366" s="6" t="s">
        <v>6692</v>
      </c>
      <c r="B366" s="3" t="s">
        <v>6693</v>
      </c>
      <c r="C366" s="4">
        <v>4</v>
      </c>
      <c r="D366" s="5">
        <v>79.959999999999994</v>
      </c>
      <c r="E366" s="4">
        <v>10005868000</v>
      </c>
      <c r="F366" s="3" t="s">
        <v>5552</v>
      </c>
      <c r="G366" s="7" t="s">
        <v>6252</v>
      </c>
      <c r="H366" s="3" t="s">
        <v>6652</v>
      </c>
      <c r="I366" s="3" t="s">
        <v>6686</v>
      </c>
      <c r="J366" s="3" t="s">
        <v>5536</v>
      </c>
      <c r="K366" s="3" t="s">
        <v>6338</v>
      </c>
      <c r="L366" s="8" t="str">
        <f>HYPERLINK("http://slimages.macys.com/is/image/MCY/12503469 ")</f>
        <v xml:space="preserve">http://slimages.macys.com/is/image/MCY/12503469 </v>
      </c>
    </row>
    <row r="367" spans="1:12" ht="24.75" x14ac:dyDescent="0.25">
      <c r="A367" s="6" t="s">
        <v>4417</v>
      </c>
      <c r="B367" s="3" t="s">
        <v>6690</v>
      </c>
      <c r="C367" s="4">
        <v>2</v>
      </c>
      <c r="D367" s="5">
        <v>39.979999999999997</v>
      </c>
      <c r="E367" s="4">
        <v>10008575000</v>
      </c>
      <c r="F367" s="3" t="s">
        <v>5661</v>
      </c>
      <c r="G367" s="7" t="s">
        <v>6252</v>
      </c>
      <c r="H367" s="3" t="s">
        <v>6652</v>
      </c>
      <c r="I367" s="3" t="s">
        <v>6686</v>
      </c>
      <c r="J367" s="3" t="s">
        <v>5536</v>
      </c>
      <c r="K367" s="3" t="s">
        <v>6316</v>
      </c>
      <c r="L367" s="8" t="str">
        <f>HYPERLINK("http://slimages.macys.com/is/image/MCY/15899453 ")</f>
        <v xml:space="preserve">http://slimages.macys.com/is/image/MCY/15899453 </v>
      </c>
    </row>
    <row r="368" spans="1:12" ht="24.75" x14ac:dyDescent="0.25">
      <c r="A368" s="6" t="s">
        <v>4418</v>
      </c>
      <c r="B368" s="3" t="s">
        <v>4419</v>
      </c>
      <c r="C368" s="4">
        <v>1</v>
      </c>
      <c r="D368" s="5">
        <v>19.989999999999998</v>
      </c>
      <c r="E368" s="4">
        <v>10006793000</v>
      </c>
      <c r="F368" s="3" t="s">
        <v>6275</v>
      </c>
      <c r="G368" s="7" t="s">
        <v>6252</v>
      </c>
      <c r="H368" s="3" t="s">
        <v>6652</v>
      </c>
      <c r="I368" s="3" t="s">
        <v>6686</v>
      </c>
      <c r="J368" s="3" t="s">
        <v>5536</v>
      </c>
      <c r="K368" s="3" t="s">
        <v>6338</v>
      </c>
      <c r="L368" s="8" t="str">
        <f>HYPERLINK("http://slimages.macys.com/is/image/MCY/12712270 ")</f>
        <v xml:space="preserve">http://slimages.macys.com/is/image/MCY/12712270 </v>
      </c>
    </row>
    <row r="369" spans="1:12" ht="24.75" x14ac:dyDescent="0.25">
      <c r="A369" s="6" t="s">
        <v>4420</v>
      </c>
      <c r="B369" s="3" t="s">
        <v>4414</v>
      </c>
      <c r="C369" s="4">
        <v>1</v>
      </c>
      <c r="D369" s="5">
        <v>19.989999999999998</v>
      </c>
      <c r="E369" s="4">
        <v>10008575300</v>
      </c>
      <c r="F369" s="3" t="s">
        <v>5610</v>
      </c>
      <c r="G369" s="7" t="s">
        <v>6252</v>
      </c>
      <c r="H369" s="3" t="s">
        <v>6652</v>
      </c>
      <c r="I369" s="3" t="s">
        <v>6686</v>
      </c>
      <c r="J369" s="3" t="s">
        <v>5536</v>
      </c>
      <c r="K369" s="3" t="s">
        <v>6316</v>
      </c>
      <c r="L369" s="8" t="str">
        <f>HYPERLINK("http://slimages.macys.com/is/image/MCY/15899629 ")</f>
        <v xml:space="preserve">http://slimages.macys.com/is/image/MCY/15899629 </v>
      </c>
    </row>
    <row r="370" spans="1:12" ht="24.75" x14ac:dyDescent="0.25">
      <c r="A370" s="6" t="s">
        <v>6727</v>
      </c>
      <c r="B370" s="3" t="s">
        <v>6688</v>
      </c>
      <c r="C370" s="4">
        <v>2</v>
      </c>
      <c r="D370" s="5">
        <v>39.979999999999997</v>
      </c>
      <c r="E370" s="4">
        <v>10008575200</v>
      </c>
      <c r="F370" s="3" t="s">
        <v>5625</v>
      </c>
      <c r="G370" s="7" t="s">
        <v>6252</v>
      </c>
      <c r="H370" s="3" t="s">
        <v>6652</v>
      </c>
      <c r="I370" s="3" t="s">
        <v>6686</v>
      </c>
      <c r="J370" s="3" t="s">
        <v>5536</v>
      </c>
      <c r="K370" s="3" t="s">
        <v>6316</v>
      </c>
      <c r="L370" s="8" t="str">
        <f>HYPERLINK("http://slimages.macys.com/is/image/MCY/15899484 ")</f>
        <v xml:space="preserve">http://slimages.macys.com/is/image/MCY/15899484 </v>
      </c>
    </row>
    <row r="371" spans="1:12" ht="24.75" x14ac:dyDescent="0.25">
      <c r="A371" s="6" t="s">
        <v>4421</v>
      </c>
      <c r="B371" s="3" t="s">
        <v>6690</v>
      </c>
      <c r="C371" s="4">
        <v>2</v>
      </c>
      <c r="D371" s="5">
        <v>39.979999999999997</v>
      </c>
      <c r="E371" s="4">
        <v>10008575000</v>
      </c>
      <c r="F371" s="3" t="s">
        <v>5578</v>
      </c>
      <c r="G371" s="7" t="s">
        <v>6252</v>
      </c>
      <c r="H371" s="3" t="s">
        <v>6652</v>
      </c>
      <c r="I371" s="3" t="s">
        <v>6686</v>
      </c>
      <c r="J371" s="3" t="s">
        <v>5536</v>
      </c>
      <c r="K371" s="3" t="s">
        <v>6316</v>
      </c>
      <c r="L371" s="8" t="str">
        <f>HYPERLINK("http://slimages.macys.com/is/image/MCY/15899453 ")</f>
        <v xml:space="preserve">http://slimages.macys.com/is/image/MCY/15899453 </v>
      </c>
    </row>
    <row r="372" spans="1:12" ht="24.75" x14ac:dyDescent="0.25">
      <c r="A372" s="6" t="s">
        <v>4422</v>
      </c>
      <c r="B372" s="3" t="s">
        <v>4414</v>
      </c>
      <c r="C372" s="4">
        <v>3</v>
      </c>
      <c r="D372" s="5">
        <v>59.97</v>
      </c>
      <c r="E372" s="4">
        <v>10008575300</v>
      </c>
      <c r="F372" s="3" t="s">
        <v>5661</v>
      </c>
      <c r="G372" s="7" t="s">
        <v>6252</v>
      </c>
      <c r="H372" s="3" t="s">
        <v>6652</v>
      </c>
      <c r="I372" s="3" t="s">
        <v>6686</v>
      </c>
      <c r="J372" s="3" t="s">
        <v>5536</v>
      </c>
      <c r="K372" s="3" t="s">
        <v>6316</v>
      </c>
      <c r="L372" s="8" t="str">
        <f>HYPERLINK("http://slimages.macys.com/is/image/MCY/15899629 ")</f>
        <v xml:space="preserve">http://slimages.macys.com/is/image/MCY/15899629 </v>
      </c>
    </row>
    <row r="373" spans="1:12" ht="24.75" x14ac:dyDescent="0.25">
      <c r="A373" s="6" t="s">
        <v>4423</v>
      </c>
      <c r="B373" s="3" t="s">
        <v>6688</v>
      </c>
      <c r="C373" s="4">
        <v>6</v>
      </c>
      <c r="D373" s="5">
        <v>119.94</v>
      </c>
      <c r="E373" s="4">
        <v>10008575200</v>
      </c>
      <c r="F373" s="3" t="s">
        <v>5578</v>
      </c>
      <c r="G373" s="7" t="s">
        <v>6252</v>
      </c>
      <c r="H373" s="3" t="s">
        <v>6652</v>
      </c>
      <c r="I373" s="3" t="s">
        <v>6686</v>
      </c>
      <c r="J373" s="3" t="s">
        <v>5536</v>
      </c>
      <c r="K373" s="3" t="s">
        <v>6316</v>
      </c>
      <c r="L373" s="8" t="str">
        <f>HYPERLINK("http://slimages.macys.com/is/image/MCY/15899484 ")</f>
        <v xml:space="preserve">http://slimages.macys.com/is/image/MCY/15899484 </v>
      </c>
    </row>
    <row r="374" spans="1:12" ht="24.75" x14ac:dyDescent="0.25">
      <c r="A374" s="6" t="s">
        <v>6687</v>
      </c>
      <c r="B374" s="3" t="s">
        <v>6688</v>
      </c>
      <c r="C374" s="4">
        <v>4</v>
      </c>
      <c r="D374" s="5">
        <v>79.959999999999994</v>
      </c>
      <c r="E374" s="4">
        <v>10008575200</v>
      </c>
      <c r="F374" s="3" t="s">
        <v>5552</v>
      </c>
      <c r="G374" s="7" t="s">
        <v>6252</v>
      </c>
      <c r="H374" s="3" t="s">
        <v>6652</v>
      </c>
      <c r="I374" s="3" t="s">
        <v>6686</v>
      </c>
      <c r="J374" s="3" t="s">
        <v>5536</v>
      </c>
      <c r="K374" s="3" t="s">
        <v>6316</v>
      </c>
      <c r="L374" s="8" t="str">
        <f>HYPERLINK("http://slimages.macys.com/is/image/MCY/15899484 ")</f>
        <v xml:space="preserve">http://slimages.macys.com/is/image/MCY/15899484 </v>
      </c>
    </row>
    <row r="375" spans="1:12" ht="24.75" x14ac:dyDescent="0.25">
      <c r="A375" s="6" t="s">
        <v>6691</v>
      </c>
      <c r="B375" s="3" t="s">
        <v>6690</v>
      </c>
      <c r="C375" s="4">
        <v>2</v>
      </c>
      <c r="D375" s="5">
        <v>39.979999999999997</v>
      </c>
      <c r="E375" s="4">
        <v>10008575000</v>
      </c>
      <c r="F375" s="3" t="s">
        <v>5625</v>
      </c>
      <c r="G375" s="7" t="s">
        <v>6252</v>
      </c>
      <c r="H375" s="3" t="s">
        <v>6652</v>
      </c>
      <c r="I375" s="3" t="s">
        <v>6686</v>
      </c>
      <c r="J375" s="3" t="s">
        <v>5536</v>
      </c>
      <c r="K375" s="3" t="s">
        <v>6316</v>
      </c>
      <c r="L375" s="8" t="str">
        <f>HYPERLINK("http://slimages.macys.com/is/image/MCY/15899453 ")</f>
        <v xml:space="preserve">http://slimages.macys.com/is/image/MCY/15899453 </v>
      </c>
    </row>
    <row r="376" spans="1:12" ht="24.75" x14ac:dyDescent="0.25">
      <c r="A376" s="6" t="s">
        <v>6745</v>
      </c>
      <c r="B376" s="3" t="s">
        <v>6688</v>
      </c>
      <c r="C376" s="4">
        <v>1</v>
      </c>
      <c r="D376" s="5">
        <v>19.989999999999998</v>
      </c>
      <c r="E376" s="4">
        <v>10008575200</v>
      </c>
      <c r="F376" s="3" t="s">
        <v>5661</v>
      </c>
      <c r="G376" s="7" t="s">
        <v>6252</v>
      </c>
      <c r="H376" s="3" t="s">
        <v>6652</v>
      </c>
      <c r="I376" s="3" t="s">
        <v>6686</v>
      </c>
      <c r="J376" s="3" t="s">
        <v>5536</v>
      </c>
      <c r="K376" s="3" t="s">
        <v>6316</v>
      </c>
      <c r="L376" s="8" t="str">
        <f>HYPERLINK("http://slimages.macys.com/is/image/MCY/15899484 ")</f>
        <v xml:space="preserve">http://slimages.macys.com/is/image/MCY/15899484 </v>
      </c>
    </row>
    <row r="377" spans="1:12" ht="24.75" x14ac:dyDescent="0.25">
      <c r="A377" s="6" t="s">
        <v>4424</v>
      </c>
      <c r="B377" s="3" t="s">
        <v>4425</v>
      </c>
      <c r="C377" s="4">
        <v>1</v>
      </c>
      <c r="D377" s="5">
        <v>20</v>
      </c>
      <c r="E377" s="4" t="s">
        <v>4426</v>
      </c>
      <c r="F377" s="3" t="s">
        <v>5540</v>
      </c>
      <c r="G377" s="7" t="s">
        <v>5533</v>
      </c>
      <c r="H377" s="3" t="s">
        <v>6492</v>
      </c>
      <c r="I377" s="3" t="s">
        <v>4427</v>
      </c>
      <c r="J377" s="3" t="s">
        <v>5536</v>
      </c>
      <c r="K377" s="3" t="s">
        <v>5594</v>
      </c>
      <c r="L377" s="8" t="str">
        <f>HYPERLINK("http://slimages.macys.com/is/image/MCY/12080905 ")</f>
        <v xml:space="preserve">http://slimages.macys.com/is/image/MCY/12080905 </v>
      </c>
    </row>
    <row r="378" spans="1:12" ht="24.75" x14ac:dyDescent="0.25">
      <c r="A378" s="6" t="s">
        <v>4428</v>
      </c>
      <c r="B378" s="3" t="s">
        <v>4429</v>
      </c>
      <c r="C378" s="4">
        <v>1</v>
      </c>
      <c r="D378" s="5">
        <v>16</v>
      </c>
      <c r="E378" s="4" t="s">
        <v>4430</v>
      </c>
      <c r="F378" s="3" t="s">
        <v>5540</v>
      </c>
      <c r="G378" s="7"/>
      <c r="H378" s="3" t="s">
        <v>4431</v>
      </c>
      <c r="I378" s="3" t="s">
        <v>4432</v>
      </c>
      <c r="J378" s="3" t="s">
        <v>5536</v>
      </c>
      <c r="K378" s="3" t="s">
        <v>5984</v>
      </c>
      <c r="L378" s="8" t="str">
        <f>HYPERLINK("http://slimages.macys.com/is/image/MCY/8958580 ")</f>
        <v xml:space="preserve">http://slimages.macys.com/is/image/MCY/8958580 </v>
      </c>
    </row>
    <row r="379" spans="1:12" ht="24.75" x14ac:dyDescent="0.25">
      <c r="A379" s="6" t="s">
        <v>6797</v>
      </c>
      <c r="B379" s="3" t="s">
        <v>6798</v>
      </c>
      <c r="C379" s="4">
        <v>2</v>
      </c>
      <c r="D379" s="5">
        <v>30</v>
      </c>
      <c r="E379" s="4" t="s">
        <v>6799</v>
      </c>
      <c r="F379" s="3" t="s">
        <v>5783</v>
      </c>
      <c r="G379" s="7" t="s">
        <v>6252</v>
      </c>
      <c r="H379" s="3" t="s">
        <v>5899</v>
      </c>
      <c r="I379" s="3" t="s">
        <v>6800</v>
      </c>
      <c r="J379" s="3" t="s">
        <v>5536</v>
      </c>
      <c r="K379" s="3" t="s">
        <v>6801</v>
      </c>
      <c r="L379" s="8" t="str">
        <f>HYPERLINK("http://slimages.macys.com/is/image/MCY/14723456 ")</f>
        <v xml:space="preserve">http://slimages.macys.com/is/image/MCY/14723456 </v>
      </c>
    </row>
    <row r="380" spans="1:12" ht="24.75" x14ac:dyDescent="0.25">
      <c r="A380" s="6" t="s">
        <v>4433</v>
      </c>
      <c r="B380" s="3" t="s">
        <v>4434</v>
      </c>
      <c r="C380" s="4">
        <v>1</v>
      </c>
      <c r="D380" s="5">
        <v>20</v>
      </c>
      <c r="E380" s="4" t="s">
        <v>4435</v>
      </c>
      <c r="F380" s="3" t="s">
        <v>5783</v>
      </c>
      <c r="G380" s="7" t="s">
        <v>5598</v>
      </c>
      <c r="H380" s="3" t="s">
        <v>6492</v>
      </c>
      <c r="I380" s="3" t="s">
        <v>4436</v>
      </c>
      <c r="J380" s="3" t="s">
        <v>5536</v>
      </c>
      <c r="K380" s="3" t="s">
        <v>5549</v>
      </c>
      <c r="L380" s="8" t="str">
        <f>HYPERLINK("http://slimages.macys.com/is/image/MCY/13854047 ")</f>
        <v xml:space="preserve">http://slimages.macys.com/is/image/MCY/13854047 </v>
      </c>
    </row>
    <row r="381" spans="1:12" ht="24.75" x14ac:dyDescent="0.25">
      <c r="A381" s="6" t="s">
        <v>4437</v>
      </c>
      <c r="B381" s="3" t="s">
        <v>6852</v>
      </c>
      <c r="C381" s="4">
        <v>2</v>
      </c>
      <c r="D381" s="5">
        <v>27.98</v>
      </c>
      <c r="E381" s="4" t="s">
        <v>6853</v>
      </c>
      <c r="F381" s="3" t="s">
        <v>5925</v>
      </c>
      <c r="G381" s="7" t="s">
        <v>6848</v>
      </c>
      <c r="H381" s="3" t="s">
        <v>5794</v>
      </c>
      <c r="I381" s="3" t="s">
        <v>6849</v>
      </c>
      <c r="J381" s="3" t="s">
        <v>5536</v>
      </c>
      <c r="K381" s="3" t="s">
        <v>6850</v>
      </c>
      <c r="L381" s="8" t="str">
        <f>HYPERLINK("http://slimages.macys.com/is/image/MCY/14840691 ")</f>
        <v xml:space="preserve">http://slimages.macys.com/is/image/MCY/14840691 </v>
      </c>
    </row>
    <row r="382" spans="1:12" ht="24.75" x14ac:dyDescent="0.25">
      <c r="A382" s="6" t="s">
        <v>4438</v>
      </c>
      <c r="B382" s="3" t="s">
        <v>6852</v>
      </c>
      <c r="C382" s="4">
        <v>2</v>
      </c>
      <c r="D382" s="5">
        <v>27.98</v>
      </c>
      <c r="E382" s="4" t="s">
        <v>6853</v>
      </c>
      <c r="F382" s="3" t="s">
        <v>5783</v>
      </c>
      <c r="G382" s="7" t="s">
        <v>6862</v>
      </c>
      <c r="H382" s="3" t="s">
        <v>5794</v>
      </c>
      <c r="I382" s="3" t="s">
        <v>6849</v>
      </c>
      <c r="J382" s="3" t="s">
        <v>5536</v>
      </c>
      <c r="K382" s="3" t="s">
        <v>6850</v>
      </c>
      <c r="L382" s="8" t="str">
        <f>HYPERLINK("http://slimages.macys.com/is/image/MCY/14840691 ")</f>
        <v xml:space="preserve">http://slimages.macys.com/is/image/MCY/14840691 </v>
      </c>
    </row>
    <row r="383" spans="1:12" ht="24.75" x14ac:dyDescent="0.25">
      <c r="A383" s="6" t="s">
        <v>6854</v>
      </c>
      <c r="B383" s="3" t="s">
        <v>6846</v>
      </c>
      <c r="C383" s="4">
        <v>2</v>
      </c>
      <c r="D383" s="5">
        <v>27.98</v>
      </c>
      <c r="E383" s="4" t="s">
        <v>6847</v>
      </c>
      <c r="F383" s="3" t="s">
        <v>5977</v>
      </c>
      <c r="G383" s="7" t="s">
        <v>5999</v>
      </c>
      <c r="H383" s="3" t="s">
        <v>5794</v>
      </c>
      <c r="I383" s="3" t="s">
        <v>6849</v>
      </c>
      <c r="J383" s="3" t="s">
        <v>5536</v>
      </c>
      <c r="K383" s="3" t="s">
        <v>6850</v>
      </c>
      <c r="L383" s="8" t="str">
        <f>HYPERLINK("http://slimages.macys.com/is/image/MCY/14816336 ")</f>
        <v xml:space="preserve">http://slimages.macys.com/is/image/MCY/14816336 </v>
      </c>
    </row>
    <row r="384" spans="1:12" ht="24.75" x14ac:dyDescent="0.25">
      <c r="A384" s="6" t="s">
        <v>4439</v>
      </c>
      <c r="B384" s="3" t="s">
        <v>6852</v>
      </c>
      <c r="C384" s="4">
        <v>3</v>
      </c>
      <c r="D384" s="5">
        <v>41.97</v>
      </c>
      <c r="E384" s="4" t="s">
        <v>6853</v>
      </c>
      <c r="F384" s="3" t="s">
        <v>5783</v>
      </c>
      <c r="G384" s="7" t="s">
        <v>6862</v>
      </c>
      <c r="H384" s="3" t="s">
        <v>5794</v>
      </c>
      <c r="I384" s="3" t="s">
        <v>6849</v>
      </c>
      <c r="J384" s="3" t="s">
        <v>5536</v>
      </c>
      <c r="K384" s="3" t="s">
        <v>6850</v>
      </c>
      <c r="L384" s="8" t="str">
        <f>HYPERLINK("http://slimages.macys.com/is/image/MCY/14840691 ")</f>
        <v xml:space="preserve">http://slimages.macys.com/is/image/MCY/14840691 </v>
      </c>
    </row>
    <row r="385" spans="1:12" ht="24.75" x14ac:dyDescent="0.25">
      <c r="A385" s="6" t="s">
        <v>4440</v>
      </c>
      <c r="B385" s="3" t="s">
        <v>6860</v>
      </c>
      <c r="C385" s="4">
        <v>1</v>
      </c>
      <c r="D385" s="5">
        <v>13.99</v>
      </c>
      <c r="E385" s="4" t="s">
        <v>6861</v>
      </c>
      <c r="F385" s="3" t="s">
        <v>5783</v>
      </c>
      <c r="G385" s="7" t="s">
        <v>6862</v>
      </c>
      <c r="H385" s="3" t="s">
        <v>5794</v>
      </c>
      <c r="I385" s="3" t="s">
        <v>6849</v>
      </c>
      <c r="J385" s="3" t="s">
        <v>5536</v>
      </c>
      <c r="K385" s="3" t="s">
        <v>6850</v>
      </c>
      <c r="L385" s="8" t="str">
        <f>HYPERLINK("http://slimages.macys.com/is/image/MCY/14816237 ")</f>
        <v xml:space="preserve">http://slimages.macys.com/is/image/MCY/14816237 </v>
      </c>
    </row>
    <row r="386" spans="1:12" ht="24.75" x14ac:dyDescent="0.25">
      <c r="A386" s="6" t="s">
        <v>4441</v>
      </c>
      <c r="B386" s="3" t="s">
        <v>6852</v>
      </c>
      <c r="C386" s="4">
        <v>1</v>
      </c>
      <c r="D386" s="5">
        <v>13.99</v>
      </c>
      <c r="E386" s="4" t="s">
        <v>6853</v>
      </c>
      <c r="F386" s="3" t="s">
        <v>5793</v>
      </c>
      <c r="G386" s="7" t="s">
        <v>5999</v>
      </c>
      <c r="H386" s="3" t="s">
        <v>5794</v>
      </c>
      <c r="I386" s="3" t="s">
        <v>6849</v>
      </c>
      <c r="J386" s="3" t="s">
        <v>5536</v>
      </c>
      <c r="K386" s="3" t="s">
        <v>6850</v>
      </c>
      <c r="L386" s="8" t="str">
        <f>HYPERLINK("http://slimages.macys.com/is/image/MCY/14840691 ")</f>
        <v xml:space="preserve">http://slimages.macys.com/is/image/MCY/14840691 </v>
      </c>
    </row>
    <row r="387" spans="1:12" ht="24.75" x14ac:dyDescent="0.25">
      <c r="A387" s="6" t="s">
        <v>4442</v>
      </c>
      <c r="B387" s="3" t="s">
        <v>6860</v>
      </c>
      <c r="C387" s="4">
        <v>1</v>
      </c>
      <c r="D387" s="5">
        <v>13.99</v>
      </c>
      <c r="E387" s="4" t="s">
        <v>6861</v>
      </c>
      <c r="F387" s="3" t="s">
        <v>5540</v>
      </c>
      <c r="G387" s="7" t="s">
        <v>5999</v>
      </c>
      <c r="H387" s="3" t="s">
        <v>5794</v>
      </c>
      <c r="I387" s="3" t="s">
        <v>6849</v>
      </c>
      <c r="J387" s="3" t="s">
        <v>5536</v>
      </c>
      <c r="K387" s="3" t="s">
        <v>6850</v>
      </c>
      <c r="L387" s="8" t="str">
        <f>HYPERLINK("http://slimages.macys.com/is/image/MCY/14816237 ")</f>
        <v xml:space="preserve">http://slimages.macys.com/is/image/MCY/14816237 </v>
      </c>
    </row>
    <row r="388" spans="1:12" ht="24.75" x14ac:dyDescent="0.25">
      <c r="A388" s="6" t="s">
        <v>4443</v>
      </c>
      <c r="B388" s="3" t="s">
        <v>4444</v>
      </c>
      <c r="C388" s="4">
        <v>1</v>
      </c>
      <c r="D388" s="5">
        <v>13.99</v>
      </c>
      <c r="E388" s="4" t="s">
        <v>4445</v>
      </c>
      <c r="F388" s="3" t="s">
        <v>5540</v>
      </c>
      <c r="G388" s="7" t="s">
        <v>5573</v>
      </c>
      <c r="H388" s="3" t="s">
        <v>5794</v>
      </c>
      <c r="I388" s="3" t="s">
        <v>6849</v>
      </c>
      <c r="J388" s="3" t="s">
        <v>5536</v>
      </c>
      <c r="K388" s="3" t="s">
        <v>6850</v>
      </c>
      <c r="L388" s="8" t="str">
        <f>HYPERLINK("http://slimages.macys.com/is/image/MCY/14816314 ")</f>
        <v xml:space="preserve">http://slimages.macys.com/is/image/MCY/14816314 </v>
      </c>
    </row>
    <row r="389" spans="1:12" ht="24.75" x14ac:dyDescent="0.25">
      <c r="A389" s="6" t="s">
        <v>4446</v>
      </c>
      <c r="B389" s="3" t="s">
        <v>4444</v>
      </c>
      <c r="C389" s="4">
        <v>1</v>
      </c>
      <c r="D389" s="5">
        <v>13.99</v>
      </c>
      <c r="E389" s="4" t="s">
        <v>4445</v>
      </c>
      <c r="F389" s="3" t="s">
        <v>5783</v>
      </c>
      <c r="G389" s="7" t="s">
        <v>3886</v>
      </c>
      <c r="H389" s="3" t="s">
        <v>5794</v>
      </c>
      <c r="I389" s="3" t="s">
        <v>6849</v>
      </c>
      <c r="J389" s="3" t="s">
        <v>5536</v>
      </c>
      <c r="K389" s="3" t="s">
        <v>6850</v>
      </c>
      <c r="L389" s="8" t="str">
        <f>HYPERLINK("http://slimages.macys.com/is/image/MCY/14816314 ")</f>
        <v xml:space="preserve">http://slimages.macys.com/is/image/MCY/14816314 </v>
      </c>
    </row>
    <row r="390" spans="1:12" ht="24.75" x14ac:dyDescent="0.25">
      <c r="A390" s="6" t="s">
        <v>6855</v>
      </c>
      <c r="B390" s="3" t="s">
        <v>6846</v>
      </c>
      <c r="C390" s="4">
        <v>14</v>
      </c>
      <c r="D390" s="5">
        <v>195.86</v>
      </c>
      <c r="E390" s="4" t="s">
        <v>6847</v>
      </c>
      <c r="F390" s="3" t="s">
        <v>5540</v>
      </c>
      <c r="G390" s="7" t="s">
        <v>5999</v>
      </c>
      <c r="H390" s="3" t="s">
        <v>5794</v>
      </c>
      <c r="I390" s="3" t="s">
        <v>6849</v>
      </c>
      <c r="J390" s="3" t="s">
        <v>5536</v>
      </c>
      <c r="K390" s="3" t="s">
        <v>6850</v>
      </c>
      <c r="L390" s="8" t="str">
        <f>HYPERLINK("http://slimages.macys.com/is/image/MCY/14816336 ")</f>
        <v xml:space="preserve">http://slimages.macys.com/is/image/MCY/14816336 </v>
      </c>
    </row>
    <row r="391" spans="1:12" ht="24.75" x14ac:dyDescent="0.25">
      <c r="A391" s="6" t="s">
        <v>4447</v>
      </c>
      <c r="B391" s="3" t="s">
        <v>6860</v>
      </c>
      <c r="C391" s="4">
        <v>1</v>
      </c>
      <c r="D391" s="5">
        <v>13.99</v>
      </c>
      <c r="E391" s="4" t="s">
        <v>6861</v>
      </c>
      <c r="F391" s="3" t="s">
        <v>5783</v>
      </c>
      <c r="G391" s="7" t="s">
        <v>3886</v>
      </c>
      <c r="H391" s="3" t="s">
        <v>5794</v>
      </c>
      <c r="I391" s="3" t="s">
        <v>6849</v>
      </c>
      <c r="J391" s="3" t="s">
        <v>5536</v>
      </c>
      <c r="K391" s="3" t="s">
        <v>6850</v>
      </c>
      <c r="L391" s="8" t="str">
        <f>HYPERLINK("http://slimages.macys.com/is/image/MCY/14816237 ")</f>
        <v xml:space="preserve">http://slimages.macys.com/is/image/MCY/14816237 </v>
      </c>
    </row>
    <row r="392" spans="1:12" ht="24.75" x14ac:dyDescent="0.25">
      <c r="A392" s="6" t="s">
        <v>4448</v>
      </c>
      <c r="B392" s="3" t="s">
        <v>6846</v>
      </c>
      <c r="C392" s="4">
        <v>1</v>
      </c>
      <c r="D392" s="5">
        <v>13.99</v>
      </c>
      <c r="E392" s="4" t="s">
        <v>6847</v>
      </c>
      <c r="F392" s="3" t="s">
        <v>5977</v>
      </c>
      <c r="G392" s="7" t="s">
        <v>3886</v>
      </c>
      <c r="H392" s="3" t="s">
        <v>5794</v>
      </c>
      <c r="I392" s="3" t="s">
        <v>6849</v>
      </c>
      <c r="J392" s="3" t="s">
        <v>5536</v>
      </c>
      <c r="K392" s="3" t="s">
        <v>6850</v>
      </c>
      <c r="L392" s="8" t="str">
        <f>HYPERLINK("http://slimages.macys.com/is/image/MCY/14816336 ")</f>
        <v xml:space="preserve">http://slimages.macys.com/is/image/MCY/14816336 </v>
      </c>
    </row>
    <row r="393" spans="1:12" ht="24.75" x14ac:dyDescent="0.25">
      <c r="A393" s="6" t="s">
        <v>4449</v>
      </c>
      <c r="B393" s="3" t="s">
        <v>6846</v>
      </c>
      <c r="C393" s="4">
        <v>1</v>
      </c>
      <c r="D393" s="5">
        <v>13.99</v>
      </c>
      <c r="E393" s="4" t="s">
        <v>6847</v>
      </c>
      <c r="F393" s="3" t="s">
        <v>5977</v>
      </c>
      <c r="G393" s="7" t="s">
        <v>6862</v>
      </c>
      <c r="H393" s="3" t="s">
        <v>5794</v>
      </c>
      <c r="I393" s="3" t="s">
        <v>6849</v>
      </c>
      <c r="J393" s="3" t="s">
        <v>5536</v>
      </c>
      <c r="K393" s="3" t="s">
        <v>6850</v>
      </c>
      <c r="L393" s="8" t="str">
        <f>HYPERLINK("http://slimages.macys.com/is/image/MCY/14816336 ")</f>
        <v xml:space="preserve">http://slimages.macys.com/is/image/MCY/14816336 </v>
      </c>
    </row>
    <row r="394" spans="1:12" ht="24.75" x14ac:dyDescent="0.25">
      <c r="A394" s="6" t="s">
        <v>4450</v>
      </c>
      <c r="B394" s="3" t="s">
        <v>6852</v>
      </c>
      <c r="C394" s="4">
        <v>1</v>
      </c>
      <c r="D394" s="5">
        <v>13.99</v>
      </c>
      <c r="E394" s="4" t="s">
        <v>6853</v>
      </c>
      <c r="F394" s="3" t="s">
        <v>5925</v>
      </c>
      <c r="G394" s="7" t="s">
        <v>6862</v>
      </c>
      <c r="H394" s="3" t="s">
        <v>5794</v>
      </c>
      <c r="I394" s="3" t="s">
        <v>6849</v>
      </c>
      <c r="J394" s="3" t="s">
        <v>5536</v>
      </c>
      <c r="K394" s="3" t="s">
        <v>6850</v>
      </c>
      <c r="L394" s="8" t="str">
        <f>HYPERLINK("http://slimages.macys.com/is/image/MCY/14840691 ")</f>
        <v xml:space="preserve">http://slimages.macys.com/is/image/MCY/14840691 </v>
      </c>
    </row>
    <row r="395" spans="1:12" ht="24.75" x14ac:dyDescent="0.25">
      <c r="A395" s="6" t="s">
        <v>4451</v>
      </c>
      <c r="B395" s="3" t="s">
        <v>4444</v>
      </c>
      <c r="C395" s="4">
        <v>1</v>
      </c>
      <c r="D395" s="5">
        <v>13.99</v>
      </c>
      <c r="E395" s="4" t="s">
        <v>4445</v>
      </c>
      <c r="F395" s="3" t="s">
        <v>5783</v>
      </c>
      <c r="G395" s="7" t="s">
        <v>6862</v>
      </c>
      <c r="H395" s="3" t="s">
        <v>5794</v>
      </c>
      <c r="I395" s="3" t="s">
        <v>6849</v>
      </c>
      <c r="J395" s="3" t="s">
        <v>5536</v>
      </c>
      <c r="K395" s="3" t="s">
        <v>6850</v>
      </c>
      <c r="L395" s="8" t="str">
        <f>HYPERLINK("http://slimages.macys.com/is/image/MCY/14816314 ")</f>
        <v xml:space="preserve">http://slimages.macys.com/is/image/MCY/14816314 </v>
      </c>
    </row>
    <row r="396" spans="1:12" ht="24.75" x14ac:dyDescent="0.25">
      <c r="A396" s="6" t="s">
        <v>6864</v>
      </c>
      <c r="B396" s="3" t="s">
        <v>6852</v>
      </c>
      <c r="C396" s="4">
        <v>2</v>
      </c>
      <c r="D396" s="5">
        <v>27.98</v>
      </c>
      <c r="E396" s="4" t="s">
        <v>6853</v>
      </c>
      <c r="F396" s="3" t="s">
        <v>5793</v>
      </c>
      <c r="G396" s="7" t="s">
        <v>6862</v>
      </c>
      <c r="H396" s="3" t="s">
        <v>5794</v>
      </c>
      <c r="I396" s="3" t="s">
        <v>6849</v>
      </c>
      <c r="J396" s="3" t="s">
        <v>5536</v>
      </c>
      <c r="K396" s="3" t="s">
        <v>6850</v>
      </c>
      <c r="L396" s="8" t="str">
        <f>HYPERLINK("http://slimages.macys.com/is/image/MCY/14840691 ")</f>
        <v xml:space="preserve">http://slimages.macys.com/is/image/MCY/14840691 </v>
      </c>
    </row>
    <row r="397" spans="1:12" ht="24.75" x14ac:dyDescent="0.25">
      <c r="A397" s="6" t="s">
        <v>6858</v>
      </c>
      <c r="B397" s="3" t="s">
        <v>6846</v>
      </c>
      <c r="C397" s="4">
        <v>1</v>
      </c>
      <c r="D397" s="5">
        <v>13.99</v>
      </c>
      <c r="E397" s="4" t="s">
        <v>6847</v>
      </c>
      <c r="F397" s="3" t="s">
        <v>5540</v>
      </c>
      <c r="G397" s="7" t="s">
        <v>5573</v>
      </c>
      <c r="H397" s="3" t="s">
        <v>5794</v>
      </c>
      <c r="I397" s="3" t="s">
        <v>6849</v>
      </c>
      <c r="J397" s="3" t="s">
        <v>5536</v>
      </c>
      <c r="K397" s="3" t="s">
        <v>6850</v>
      </c>
      <c r="L397" s="8" t="str">
        <f>HYPERLINK("http://slimages.macys.com/is/image/MCY/14816336 ")</f>
        <v xml:space="preserve">http://slimages.macys.com/is/image/MCY/14816336 </v>
      </c>
    </row>
    <row r="398" spans="1:12" ht="24.75" x14ac:dyDescent="0.25">
      <c r="A398" s="6" t="s">
        <v>4452</v>
      </c>
      <c r="B398" s="3" t="s">
        <v>6852</v>
      </c>
      <c r="C398" s="4">
        <v>1</v>
      </c>
      <c r="D398" s="5">
        <v>13.99</v>
      </c>
      <c r="E398" s="4" t="s">
        <v>6853</v>
      </c>
      <c r="F398" s="3" t="s">
        <v>5783</v>
      </c>
      <c r="G398" s="7" t="s">
        <v>3886</v>
      </c>
      <c r="H398" s="3" t="s">
        <v>5794</v>
      </c>
      <c r="I398" s="3" t="s">
        <v>6849</v>
      </c>
      <c r="J398" s="3" t="s">
        <v>5536</v>
      </c>
      <c r="K398" s="3" t="s">
        <v>6850</v>
      </c>
      <c r="L398" s="8" t="str">
        <f>HYPERLINK("http://slimages.macys.com/is/image/MCY/14840691 ")</f>
        <v xml:space="preserve">http://slimages.macys.com/is/image/MCY/14840691 </v>
      </c>
    </row>
    <row r="399" spans="1:12" ht="24.75" x14ac:dyDescent="0.25">
      <c r="A399" s="6" t="s">
        <v>4453</v>
      </c>
      <c r="B399" s="3" t="s">
        <v>6846</v>
      </c>
      <c r="C399" s="4">
        <v>1</v>
      </c>
      <c r="D399" s="5">
        <v>13.99</v>
      </c>
      <c r="E399" s="4" t="s">
        <v>6847</v>
      </c>
      <c r="F399" s="3" t="s">
        <v>5783</v>
      </c>
      <c r="G399" s="7" t="s">
        <v>6862</v>
      </c>
      <c r="H399" s="3" t="s">
        <v>5794</v>
      </c>
      <c r="I399" s="3" t="s">
        <v>6849</v>
      </c>
      <c r="J399" s="3" t="s">
        <v>5536</v>
      </c>
      <c r="K399" s="3" t="s">
        <v>6850</v>
      </c>
      <c r="L399" s="8" t="str">
        <f>HYPERLINK("http://slimages.macys.com/is/image/MCY/14816336 ")</f>
        <v xml:space="preserve">http://slimages.macys.com/is/image/MCY/14816336 </v>
      </c>
    </row>
    <row r="400" spans="1:12" ht="24.75" x14ac:dyDescent="0.25">
      <c r="A400" s="6" t="s">
        <v>4454</v>
      </c>
      <c r="B400" s="3" t="s">
        <v>6852</v>
      </c>
      <c r="C400" s="4">
        <v>1</v>
      </c>
      <c r="D400" s="5">
        <v>13.99</v>
      </c>
      <c r="E400" s="4" t="s">
        <v>6853</v>
      </c>
      <c r="F400" s="3" t="s">
        <v>5925</v>
      </c>
      <c r="G400" s="7" t="s">
        <v>3886</v>
      </c>
      <c r="H400" s="3" t="s">
        <v>5794</v>
      </c>
      <c r="I400" s="3" t="s">
        <v>6849</v>
      </c>
      <c r="J400" s="3" t="s">
        <v>5536</v>
      </c>
      <c r="K400" s="3" t="s">
        <v>6850</v>
      </c>
      <c r="L400" s="8" t="str">
        <f>HYPERLINK("http://slimages.macys.com/is/image/MCY/14840691 ")</f>
        <v xml:space="preserve">http://slimages.macys.com/is/image/MCY/14840691 </v>
      </c>
    </row>
    <row r="401" spans="1:12" ht="24.75" x14ac:dyDescent="0.25">
      <c r="A401" s="6" t="s">
        <v>6859</v>
      </c>
      <c r="B401" s="3" t="s">
        <v>6860</v>
      </c>
      <c r="C401" s="4">
        <v>1</v>
      </c>
      <c r="D401" s="5">
        <v>13.99</v>
      </c>
      <c r="E401" s="4" t="s">
        <v>6861</v>
      </c>
      <c r="F401" s="3" t="s">
        <v>5540</v>
      </c>
      <c r="G401" s="7" t="s">
        <v>6862</v>
      </c>
      <c r="H401" s="3" t="s">
        <v>5794</v>
      </c>
      <c r="I401" s="3" t="s">
        <v>6849</v>
      </c>
      <c r="J401" s="3" t="s">
        <v>5536</v>
      </c>
      <c r="K401" s="3" t="s">
        <v>6850</v>
      </c>
      <c r="L401" s="8" t="str">
        <f>HYPERLINK("http://slimages.macys.com/is/image/MCY/14816237 ")</f>
        <v xml:space="preserve">http://slimages.macys.com/is/image/MCY/14816237 </v>
      </c>
    </row>
    <row r="402" spans="1:12" ht="24.75" x14ac:dyDescent="0.25">
      <c r="A402" s="6" t="s">
        <v>4455</v>
      </c>
      <c r="B402" s="3" t="s">
        <v>4456</v>
      </c>
      <c r="C402" s="4">
        <v>1</v>
      </c>
      <c r="D402" s="5">
        <v>13.99</v>
      </c>
      <c r="E402" s="4" t="s">
        <v>4457</v>
      </c>
      <c r="F402" s="3" t="s">
        <v>5625</v>
      </c>
      <c r="G402" s="7" t="s">
        <v>5999</v>
      </c>
      <c r="H402" s="3" t="s">
        <v>5794</v>
      </c>
      <c r="I402" s="3" t="s">
        <v>6849</v>
      </c>
      <c r="J402" s="3" t="s">
        <v>5536</v>
      </c>
      <c r="K402" s="3" t="s">
        <v>6850</v>
      </c>
      <c r="L402" s="8" t="str">
        <f>HYPERLINK("http://slimages.macys.com/is/image/MCY/8944075 ")</f>
        <v xml:space="preserve">http://slimages.macys.com/is/image/MCY/8944075 </v>
      </c>
    </row>
    <row r="403" spans="1:12" ht="24.75" x14ac:dyDescent="0.25">
      <c r="A403" s="6" t="s">
        <v>6851</v>
      </c>
      <c r="B403" s="3" t="s">
        <v>6852</v>
      </c>
      <c r="C403" s="4">
        <v>1</v>
      </c>
      <c r="D403" s="5">
        <v>13.99</v>
      </c>
      <c r="E403" s="4" t="s">
        <v>6853</v>
      </c>
      <c r="F403" s="3" t="s">
        <v>5783</v>
      </c>
      <c r="G403" s="7" t="s">
        <v>6848</v>
      </c>
      <c r="H403" s="3" t="s">
        <v>5794</v>
      </c>
      <c r="I403" s="3" t="s">
        <v>6849</v>
      </c>
      <c r="J403" s="3" t="s">
        <v>5536</v>
      </c>
      <c r="K403" s="3" t="s">
        <v>6850</v>
      </c>
      <c r="L403" s="8" t="str">
        <f>HYPERLINK("http://slimages.macys.com/is/image/MCY/14840691 ")</f>
        <v xml:space="preserve">http://slimages.macys.com/is/image/MCY/14840691 </v>
      </c>
    </row>
    <row r="404" spans="1:12" ht="24.75" x14ac:dyDescent="0.25">
      <c r="A404" s="6" t="s">
        <v>4458</v>
      </c>
      <c r="B404" s="3" t="s">
        <v>4444</v>
      </c>
      <c r="C404" s="4">
        <v>1</v>
      </c>
      <c r="D404" s="5">
        <v>13.99</v>
      </c>
      <c r="E404" s="4" t="s">
        <v>4445</v>
      </c>
      <c r="F404" s="3" t="s">
        <v>5540</v>
      </c>
      <c r="G404" s="7" t="s">
        <v>3886</v>
      </c>
      <c r="H404" s="3" t="s">
        <v>5794</v>
      </c>
      <c r="I404" s="3" t="s">
        <v>6849</v>
      </c>
      <c r="J404" s="3" t="s">
        <v>5536</v>
      </c>
      <c r="K404" s="3" t="s">
        <v>6850</v>
      </c>
      <c r="L404" s="8" t="str">
        <f>HYPERLINK("http://slimages.macys.com/is/image/MCY/14816314 ")</f>
        <v xml:space="preserve">http://slimages.macys.com/is/image/MCY/14816314 </v>
      </c>
    </row>
    <row r="405" spans="1:12" ht="24.75" x14ac:dyDescent="0.25">
      <c r="A405" s="6" t="s">
        <v>4459</v>
      </c>
      <c r="B405" s="3" t="s">
        <v>6860</v>
      </c>
      <c r="C405" s="4">
        <v>1</v>
      </c>
      <c r="D405" s="5">
        <v>13.99</v>
      </c>
      <c r="E405" s="4" t="s">
        <v>6861</v>
      </c>
      <c r="F405" s="3" t="s">
        <v>5783</v>
      </c>
      <c r="G405" s="7" t="s">
        <v>6848</v>
      </c>
      <c r="H405" s="3" t="s">
        <v>5794</v>
      </c>
      <c r="I405" s="3" t="s">
        <v>6849</v>
      </c>
      <c r="J405" s="3" t="s">
        <v>5536</v>
      </c>
      <c r="K405" s="3" t="s">
        <v>6850</v>
      </c>
      <c r="L405" s="8" t="str">
        <f>HYPERLINK("http://slimages.macys.com/is/image/MCY/14816237 ")</f>
        <v xml:space="preserve">http://slimages.macys.com/is/image/MCY/14816237 </v>
      </c>
    </row>
    <row r="406" spans="1:12" ht="24.75" x14ac:dyDescent="0.25">
      <c r="A406" s="6" t="s">
        <v>4460</v>
      </c>
      <c r="B406" s="3" t="s">
        <v>6852</v>
      </c>
      <c r="C406" s="4">
        <v>1</v>
      </c>
      <c r="D406" s="5">
        <v>13.99</v>
      </c>
      <c r="E406" s="4" t="s">
        <v>6853</v>
      </c>
      <c r="F406" s="3" t="s">
        <v>5783</v>
      </c>
      <c r="G406" s="7" t="s">
        <v>5999</v>
      </c>
      <c r="H406" s="3" t="s">
        <v>5794</v>
      </c>
      <c r="I406" s="3" t="s">
        <v>6849</v>
      </c>
      <c r="J406" s="3" t="s">
        <v>5536</v>
      </c>
      <c r="K406" s="3" t="s">
        <v>6850</v>
      </c>
      <c r="L406" s="8" t="str">
        <f>HYPERLINK("http://slimages.macys.com/is/image/MCY/14840691 ")</f>
        <v xml:space="preserve">http://slimages.macys.com/is/image/MCY/14840691 </v>
      </c>
    </row>
    <row r="407" spans="1:12" ht="24.75" x14ac:dyDescent="0.25">
      <c r="A407" s="6" t="s">
        <v>4461</v>
      </c>
      <c r="B407" s="3" t="s">
        <v>6852</v>
      </c>
      <c r="C407" s="4">
        <v>1</v>
      </c>
      <c r="D407" s="5">
        <v>13.99</v>
      </c>
      <c r="E407" s="4" t="s">
        <v>6853</v>
      </c>
      <c r="F407" s="3" t="s">
        <v>5925</v>
      </c>
      <c r="G407" s="7" t="s">
        <v>5999</v>
      </c>
      <c r="H407" s="3" t="s">
        <v>5794</v>
      </c>
      <c r="I407" s="3" t="s">
        <v>6849</v>
      </c>
      <c r="J407" s="3" t="s">
        <v>5536</v>
      </c>
      <c r="K407" s="3" t="s">
        <v>6850</v>
      </c>
      <c r="L407" s="8" t="str">
        <f>HYPERLINK("http://slimages.macys.com/is/image/MCY/14840691 ")</f>
        <v xml:space="preserve">http://slimages.macys.com/is/image/MCY/14840691 </v>
      </c>
    </row>
    <row r="408" spans="1:12" ht="24.75" x14ac:dyDescent="0.25">
      <c r="A408" s="6" t="s">
        <v>4462</v>
      </c>
      <c r="B408" s="3" t="s">
        <v>6860</v>
      </c>
      <c r="C408" s="4">
        <v>1</v>
      </c>
      <c r="D408" s="5">
        <v>13.99</v>
      </c>
      <c r="E408" s="4" t="s">
        <v>6861</v>
      </c>
      <c r="F408" s="3" t="s">
        <v>5540</v>
      </c>
      <c r="G408" s="7" t="s">
        <v>6848</v>
      </c>
      <c r="H408" s="3" t="s">
        <v>5794</v>
      </c>
      <c r="I408" s="3" t="s">
        <v>6849</v>
      </c>
      <c r="J408" s="3" t="s">
        <v>5536</v>
      </c>
      <c r="K408" s="3" t="s">
        <v>6850</v>
      </c>
      <c r="L408" s="8" t="str">
        <f>HYPERLINK("http://slimages.macys.com/is/image/MCY/14816237 ")</f>
        <v xml:space="preserve">http://slimages.macys.com/is/image/MCY/14816237 </v>
      </c>
    </row>
    <row r="409" spans="1:12" ht="24.75" x14ac:dyDescent="0.25">
      <c r="A409" s="6" t="s">
        <v>4463</v>
      </c>
      <c r="B409" s="3" t="s">
        <v>6852</v>
      </c>
      <c r="C409" s="4">
        <v>6</v>
      </c>
      <c r="D409" s="5">
        <v>83.94</v>
      </c>
      <c r="E409" s="4" t="s">
        <v>6853</v>
      </c>
      <c r="F409" s="3" t="s">
        <v>5540</v>
      </c>
      <c r="G409" s="7" t="s">
        <v>6862</v>
      </c>
      <c r="H409" s="3" t="s">
        <v>5794</v>
      </c>
      <c r="I409" s="3" t="s">
        <v>6849</v>
      </c>
      <c r="J409" s="3" t="s">
        <v>5536</v>
      </c>
      <c r="K409" s="3" t="s">
        <v>6850</v>
      </c>
      <c r="L409" s="8" t="str">
        <f>HYPERLINK("http://slimages.macys.com/is/image/MCY/14840691 ")</f>
        <v xml:space="preserve">http://slimages.macys.com/is/image/MCY/14840691 </v>
      </c>
    </row>
    <row r="410" spans="1:12" ht="24.75" x14ac:dyDescent="0.25">
      <c r="A410" s="6" t="s">
        <v>4464</v>
      </c>
      <c r="B410" s="3" t="s">
        <v>6846</v>
      </c>
      <c r="C410" s="4">
        <v>5</v>
      </c>
      <c r="D410" s="5">
        <v>69.95</v>
      </c>
      <c r="E410" s="4" t="s">
        <v>6847</v>
      </c>
      <c r="F410" s="3" t="s">
        <v>5540</v>
      </c>
      <c r="G410" s="7" t="s">
        <v>6862</v>
      </c>
      <c r="H410" s="3" t="s">
        <v>5794</v>
      </c>
      <c r="I410" s="3" t="s">
        <v>6849</v>
      </c>
      <c r="J410" s="3" t="s">
        <v>5536</v>
      </c>
      <c r="K410" s="3" t="s">
        <v>6850</v>
      </c>
      <c r="L410" s="8" t="str">
        <f>HYPERLINK("http://slimages.macys.com/is/image/MCY/14816336 ")</f>
        <v xml:space="preserve">http://slimages.macys.com/is/image/MCY/14816336 </v>
      </c>
    </row>
    <row r="411" spans="1:12" ht="24.75" x14ac:dyDescent="0.25">
      <c r="A411" s="6" t="s">
        <v>4465</v>
      </c>
      <c r="B411" s="3" t="s">
        <v>4444</v>
      </c>
      <c r="C411" s="4">
        <v>1</v>
      </c>
      <c r="D411" s="5">
        <v>13.99</v>
      </c>
      <c r="E411" s="4" t="s">
        <v>4445</v>
      </c>
      <c r="F411" s="3" t="s">
        <v>5783</v>
      </c>
      <c r="G411" s="7" t="s">
        <v>5999</v>
      </c>
      <c r="H411" s="3" t="s">
        <v>5794</v>
      </c>
      <c r="I411" s="3" t="s">
        <v>6849</v>
      </c>
      <c r="J411" s="3" t="s">
        <v>5536</v>
      </c>
      <c r="K411" s="3" t="s">
        <v>6850</v>
      </c>
      <c r="L411" s="8" t="str">
        <f>HYPERLINK("http://slimages.macys.com/is/image/MCY/14816314 ")</f>
        <v xml:space="preserve">http://slimages.macys.com/is/image/MCY/14816314 </v>
      </c>
    </row>
    <row r="412" spans="1:12" ht="24.75" x14ac:dyDescent="0.25">
      <c r="A412" s="6" t="s">
        <v>4466</v>
      </c>
      <c r="B412" s="3" t="s">
        <v>6852</v>
      </c>
      <c r="C412" s="4">
        <v>3</v>
      </c>
      <c r="D412" s="5">
        <v>41.97</v>
      </c>
      <c r="E412" s="4" t="s">
        <v>6853</v>
      </c>
      <c r="F412" s="3" t="s">
        <v>5783</v>
      </c>
      <c r="G412" s="7" t="s">
        <v>5999</v>
      </c>
      <c r="H412" s="3" t="s">
        <v>5794</v>
      </c>
      <c r="I412" s="3" t="s">
        <v>6849</v>
      </c>
      <c r="J412" s="3" t="s">
        <v>5536</v>
      </c>
      <c r="K412" s="3" t="s">
        <v>6850</v>
      </c>
      <c r="L412" s="8" t="str">
        <f>HYPERLINK("http://slimages.macys.com/is/image/MCY/14840691 ")</f>
        <v xml:space="preserve">http://slimages.macys.com/is/image/MCY/14840691 </v>
      </c>
    </row>
    <row r="413" spans="1:12" ht="24.75" x14ac:dyDescent="0.25">
      <c r="A413" s="6" t="s">
        <v>4467</v>
      </c>
      <c r="B413" s="3" t="s">
        <v>6852</v>
      </c>
      <c r="C413" s="4">
        <v>1</v>
      </c>
      <c r="D413" s="5">
        <v>13.99</v>
      </c>
      <c r="E413" s="4" t="s">
        <v>6853</v>
      </c>
      <c r="F413" s="3" t="s">
        <v>5783</v>
      </c>
      <c r="G413" s="7" t="s">
        <v>6848</v>
      </c>
      <c r="H413" s="3" t="s">
        <v>5794</v>
      </c>
      <c r="I413" s="3" t="s">
        <v>6849</v>
      </c>
      <c r="J413" s="3" t="s">
        <v>5536</v>
      </c>
      <c r="K413" s="3" t="s">
        <v>6850</v>
      </c>
      <c r="L413" s="8" t="str">
        <f>HYPERLINK("http://slimages.macys.com/is/image/MCY/14840691 ")</f>
        <v xml:space="preserve">http://slimages.macys.com/is/image/MCY/14840691 </v>
      </c>
    </row>
    <row r="414" spans="1:12" ht="24.75" x14ac:dyDescent="0.25">
      <c r="A414" s="6" t="s">
        <v>4468</v>
      </c>
      <c r="B414" s="3" t="s">
        <v>4469</v>
      </c>
      <c r="C414" s="4">
        <v>1</v>
      </c>
      <c r="D414" s="5">
        <v>21.99</v>
      </c>
      <c r="E414" s="4" t="s">
        <v>4470</v>
      </c>
      <c r="F414" s="3" t="s">
        <v>5540</v>
      </c>
      <c r="G414" s="7" t="s">
        <v>5898</v>
      </c>
      <c r="H414" s="3" t="s">
        <v>4471</v>
      </c>
      <c r="I414" s="3" t="s">
        <v>4351</v>
      </c>
      <c r="J414" s="3" t="s">
        <v>5536</v>
      </c>
      <c r="K414" s="3" t="s">
        <v>6133</v>
      </c>
      <c r="L414" s="8" t="str">
        <f>HYPERLINK("http://slimages.macys.com/is/image/MCY/14396655 ")</f>
        <v xml:space="preserve">http://slimages.macys.com/is/image/MCY/14396655 </v>
      </c>
    </row>
    <row r="415" spans="1:12" ht="24.75" x14ac:dyDescent="0.25">
      <c r="A415" s="6" t="s">
        <v>4472</v>
      </c>
      <c r="B415" s="3" t="s">
        <v>4473</v>
      </c>
      <c r="C415" s="4">
        <v>1</v>
      </c>
      <c r="D415" s="5">
        <v>8</v>
      </c>
      <c r="E415" s="4" t="s">
        <v>4474</v>
      </c>
      <c r="F415" s="3" t="s">
        <v>5578</v>
      </c>
      <c r="G415" s="7" t="s">
        <v>6252</v>
      </c>
      <c r="H415" s="3" t="s">
        <v>4471</v>
      </c>
      <c r="I415" s="3" t="s">
        <v>6800</v>
      </c>
      <c r="J415" s="3" t="s">
        <v>5536</v>
      </c>
      <c r="K415" s="3" t="s">
        <v>5549</v>
      </c>
      <c r="L415" s="8" t="str">
        <f>HYPERLINK("http://slimages.macys.com/is/image/MCY/15563891 ")</f>
        <v xml:space="preserve">http://slimages.macys.com/is/image/MCY/15563891 </v>
      </c>
    </row>
    <row r="416" spans="1:12" ht="36.75" x14ac:dyDescent="0.25">
      <c r="A416" s="6" t="s">
        <v>6915</v>
      </c>
      <c r="B416" s="3" t="s">
        <v>6916</v>
      </c>
      <c r="C416" s="4">
        <v>1</v>
      </c>
      <c r="D416" s="5">
        <v>9.99</v>
      </c>
      <c r="E416" s="4" t="s">
        <v>6917</v>
      </c>
      <c r="F416" s="3" t="s">
        <v>5977</v>
      </c>
      <c r="G416" s="7" t="s">
        <v>5560</v>
      </c>
      <c r="H416" s="3" t="s">
        <v>6430</v>
      </c>
      <c r="I416" s="3" t="s">
        <v>6431</v>
      </c>
      <c r="J416" s="3" t="s">
        <v>5536</v>
      </c>
      <c r="K416" s="3" t="s">
        <v>5574</v>
      </c>
      <c r="L416" s="8" t="str">
        <f>HYPERLINK("http://slimages.macys.com/is/image/MCY/15509348 ")</f>
        <v xml:space="preserve">http://slimages.macys.com/is/image/MCY/15509348 </v>
      </c>
    </row>
    <row r="417" spans="1:12" ht="36.75" x14ac:dyDescent="0.25">
      <c r="A417" s="6" t="s">
        <v>4475</v>
      </c>
      <c r="B417" s="3" t="s">
        <v>4476</v>
      </c>
      <c r="C417" s="4">
        <v>1</v>
      </c>
      <c r="D417" s="5">
        <v>6.67</v>
      </c>
      <c r="E417" s="4" t="s">
        <v>4477</v>
      </c>
      <c r="F417" s="3" t="s">
        <v>5532</v>
      </c>
      <c r="G417" s="7" t="s">
        <v>5898</v>
      </c>
      <c r="H417" s="3" t="s">
        <v>6805</v>
      </c>
      <c r="I417" s="3" t="s">
        <v>6795</v>
      </c>
      <c r="J417" s="3" t="s">
        <v>5536</v>
      </c>
      <c r="K417" s="3" t="s">
        <v>4478</v>
      </c>
      <c r="L417" s="8" t="str">
        <f>HYPERLINK("http://slimages.macys.com/is/image/MCY/14312002 ")</f>
        <v xml:space="preserve">http://slimages.macys.com/is/image/MCY/14312002 </v>
      </c>
    </row>
    <row r="418" spans="1:12" ht="36.75" x14ac:dyDescent="0.25">
      <c r="A418" s="6" t="s">
        <v>4479</v>
      </c>
      <c r="B418" s="3" t="s">
        <v>4476</v>
      </c>
      <c r="C418" s="4">
        <v>1</v>
      </c>
      <c r="D418" s="5">
        <v>6.67</v>
      </c>
      <c r="E418" s="4" t="s">
        <v>4477</v>
      </c>
      <c r="F418" s="3" t="s">
        <v>5540</v>
      </c>
      <c r="G418" s="7" t="s">
        <v>5898</v>
      </c>
      <c r="H418" s="3" t="s">
        <v>6805</v>
      </c>
      <c r="I418" s="3" t="s">
        <v>6795</v>
      </c>
      <c r="J418" s="3" t="s">
        <v>5536</v>
      </c>
      <c r="K418" s="3" t="s">
        <v>4478</v>
      </c>
      <c r="L418" s="8" t="str">
        <f>HYPERLINK("http://slimages.macys.com/is/image/MCY/14312002 ")</f>
        <v xml:space="preserve">http://slimages.macys.com/is/image/MCY/14312002 </v>
      </c>
    </row>
    <row r="419" spans="1:12" ht="36.75" x14ac:dyDescent="0.25">
      <c r="A419" s="6" t="s">
        <v>4480</v>
      </c>
      <c r="B419" s="3" t="s">
        <v>4481</v>
      </c>
      <c r="C419" s="4">
        <v>1</v>
      </c>
      <c r="D419" s="5">
        <v>6.67</v>
      </c>
      <c r="E419" s="4" t="s">
        <v>4482</v>
      </c>
      <c r="F419" s="3"/>
      <c r="G419" s="7" t="s">
        <v>5898</v>
      </c>
      <c r="H419" s="3" t="s">
        <v>6805</v>
      </c>
      <c r="I419" s="3" t="s">
        <v>6795</v>
      </c>
      <c r="J419" s="3" t="s">
        <v>5536</v>
      </c>
      <c r="K419" s="3" t="s">
        <v>4478</v>
      </c>
      <c r="L419" s="8" t="str">
        <f>HYPERLINK("http://slimages.macys.com/is/image/MCY/14312011 ")</f>
        <v xml:space="preserve">http://slimages.macys.com/is/image/MCY/14312011 </v>
      </c>
    </row>
    <row r="420" spans="1:12" ht="24.75" x14ac:dyDescent="0.25">
      <c r="A420" s="6" t="s">
        <v>4483</v>
      </c>
      <c r="B420" s="3" t="s">
        <v>4484</v>
      </c>
      <c r="C420" s="4">
        <v>1</v>
      </c>
      <c r="D420" s="5">
        <v>5</v>
      </c>
      <c r="E420" s="4" t="s">
        <v>4485</v>
      </c>
      <c r="F420" s="3" t="s">
        <v>5625</v>
      </c>
      <c r="G420" s="7" t="s">
        <v>5898</v>
      </c>
      <c r="H420" s="3" t="s">
        <v>6632</v>
      </c>
      <c r="I420" s="3" t="s">
        <v>6969</v>
      </c>
      <c r="J420" s="3" t="s">
        <v>5536</v>
      </c>
      <c r="K420" s="3" t="s">
        <v>6970</v>
      </c>
      <c r="L420" s="8" t="str">
        <f>HYPERLINK("http://slimages.macys.com/is/image/MCY/11533804 ")</f>
        <v xml:space="preserve">http://slimages.macys.com/is/image/MCY/11533804 </v>
      </c>
    </row>
    <row r="421" spans="1:12" ht="24.75" x14ac:dyDescent="0.25">
      <c r="A421" s="6" t="s">
        <v>7015</v>
      </c>
      <c r="B421" s="3" t="s">
        <v>7016</v>
      </c>
      <c r="C421" s="4">
        <v>1</v>
      </c>
      <c r="D421" s="5">
        <v>5</v>
      </c>
      <c r="E421" s="4">
        <v>100012398</v>
      </c>
      <c r="F421" s="3" t="s">
        <v>5661</v>
      </c>
      <c r="G421" s="7" t="s">
        <v>5898</v>
      </c>
      <c r="H421" s="3" t="s">
        <v>6632</v>
      </c>
      <c r="I421" s="3" t="s">
        <v>6969</v>
      </c>
      <c r="J421" s="3" t="s">
        <v>5536</v>
      </c>
      <c r="K421" s="3" t="s">
        <v>6970</v>
      </c>
      <c r="L421" s="8" t="str">
        <f>HYPERLINK("http://slimages.macys.com/is/image/MCY/9262440 ")</f>
        <v xml:space="preserve">http://slimages.macys.com/is/image/MCY/9262440 </v>
      </c>
    </row>
    <row r="422" spans="1:12" x14ac:dyDescent="0.25">
      <c r="A422" s="6" t="s">
        <v>4486</v>
      </c>
      <c r="B422" s="3" t="s">
        <v>4487</v>
      </c>
      <c r="C422" s="4">
        <v>1</v>
      </c>
      <c r="D422" s="5">
        <v>59.5</v>
      </c>
      <c r="E422" s="4">
        <v>398590001</v>
      </c>
      <c r="F422" s="3" t="s">
        <v>5532</v>
      </c>
      <c r="G422" s="7" t="s">
        <v>5560</v>
      </c>
      <c r="H422" s="3" t="s">
        <v>5606</v>
      </c>
      <c r="I422" s="3" t="s">
        <v>5607</v>
      </c>
      <c r="J422" s="3"/>
      <c r="K422" s="3"/>
      <c r="L422" s="8"/>
    </row>
    <row r="423" spans="1:12" x14ac:dyDescent="0.25">
      <c r="A423" s="6" t="s">
        <v>4488</v>
      </c>
      <c r="B423" s="3" t="s">
        <v>4489</v>
      </c>
      <c r="C423" s="4">
        <v>1</v>
      </c>
      <c r="D423" s="5">
        <v>34.299999999999997</v>
      </c>
      <c r="E423" s="4" t="s">
        <v>4490</v>
      </c>
      <c r="F423" s="3" t="s">
        <v>5640</v>
      </c>
      <c r="G423" s="7" t="s">
        <v>4491</v>
      </c>
      <c r="H423" s="3" t="s">
        <v>6131</v>
      </c>
      <c r="I423" s="3" t="s">
        <v>6204</v>
      </c>
      <c r="J423" s="3"/>
      <c r="K423" s="3"/>
      <c r="L423" s="8"/>
    </row>
    <row r="424" spans="1:12" ht="24.75" x14ac:dyDescent="0.25">
      <c r="A424" s="6" t="s">
        <v>4492</v>
      </c>
      <c r="B424" s="3" t="s">
        <v>4493</v>
      </c>
      <c r="C424" s="4">
        <v>1</v>
      </c>
      <c r="D424" s="5">
        <v>25</v>
      </c>
      <c r="E424" s="4" t="s">
        <v>4494</v>
      </c>
      <c r="F424" s="3" t="s">
        <v>5625</v>
      </c>
      <c r="G424" s="7" t="s">
        <v>6252</v>
      </c>
      <c r="H424" s="3" t="s">
        <v>4141</v>
      </c>
      <c r="I424" s="3" t="s">
        <v>6800</v>
      </c>
      <c r="J424" s="3"/>
      <c r="K424" s="3"/>
      <c r="L424" s="8"/>
    </row>
    <row r="425" spans="1:12" ht="24.75" x14ac:dyDescent="0.25">
      <c r="A425" s="6" t="s">
        <v>4495</v>
      </c>
      <c r="B425" s="3" t="s">
        <v>4496</v>
      </c>
      <c r="C425" s="4">
        <v>2</v>
      </c>
      <c r="D425" s="5">
        <v>29.98</v>
      </c>
      <c r="E425" s="4" t="s">
        <v>4497</v>
      </c>
      <c r="F425" s="3" t="s">
        <v>5661</v>
      </c>
      <c r="G425" s="7" t="s">
        <v>6252</v>
      </c>
      <c r="H425" s="3" t="s">
        <v>6280</v>
      </c>
      <c r="I425" s="3" t="s">
        <v>4498</v>
      </c>
      <c r="J425" s="3"/>
      <c r="K425" s="3"/>
      <c r="L425" s="8"/>
    </row>
    <row r="426" spans="1:12" ht="24.75" x14ac:dyDescent="0.25">
      <c r="A426" s="6" t="s">
        <v>4499</v>
      </c>
      <c r="B426" s="3" t="s">
        <v>4500</v>
      </c>
      <c r="C426" s="4">
        <v>2</v>
      </c>
      <c r="D426" s="5">
        <v>29.98</v>
      </c>
      <c r="E426" s="4" t="s">
        <v>4501</v>
      </c>
      <c r="F426" s="3" t="s">
        <v>5745</v>
      </c>
      <c r="G426" s="7" t="s">
        <v>6252</v>
      </c>
      <c r="H426" s="3" t="s">
        <v>6280</v>
      </c>
      <c r="I426" s="3" t="s">
        <v>4498</v>
      </c>
      <c r="J426" s="3"/>
      <c r="K426" s="3"/>
      <c r="L426" s="8"/>
    </row>
    <row r="427" spans="1:12" ht="24.75" x14ac:dyDescent="0.25">
      <c r="A427" s="6" t="s">
        <v>4502</v>
      </c>
      <c r="B427" s="3" t="s">
        <v>4503</v>
      </c>
      <c r="C427" s="4">
        <v>2</v>
      </c>
      <c r="D427" s="5">
        <v>29.98</v>
      </c>
      <c r="E427" s="4" t="s">
        <v>4504</v>
      </c>
      <c r="F427" s="3" t="s">
        <v>6300</v>
      </c>
      <c r="G427" s="7" t="s">
        <v>6252</v>
      </c>
      <c r="H427" s="3" t="s">
        <v>6280</v>
      </c>
      <c r="I427" s="3" t="s">
        <v>4498</v>
      </c>
      <c r="J427" s="3"/>
      <c r="K427" s="3"/>
      <c r="L427" s="8"/>
    </row>
    <row r="428" spans="1:12" ht="24.75" x14ac:dyDescent="0.25">
      <c r="A428" s="6" t="s">
        <v>4505</v>
      </c>
      <c r="B428" s="3" t="s">
        <v>4496</v>
      </c>
      <c r="C428" s="4">
        <v>2</v>
      </c>
      <c r="D428" s="5">
        <v>29.98</v>
      </c>
      <c r="E428" s="4" t="s">
        <v>4497</v>
      </c>
      <c r="F428" s="3" t="s">
        <v>5532</v>
      </c>
      <c r="G428" s="7" t="s">
        <v>6252</v>
      </c>
      <c r="H428" s="3" t="s">
        <v>6280</v>
      </c>
      <c r="I428" s="3" t="s">
        <v>4498</v>
      </c>
      <c r="J428" s="3"/>
      <c r="K428" s="3"/>
      <c r="L428" s="8"/>
    </row>
    <row r="429" spans="1:12" ht="24.75" x14ac:dyDescent="0.25">
      <c r="A429" s="6" t="s">
        <v>4506</v>
      </c>
      <c r="B429" s="3" t="s">
        <v>4507</v>
      </c>
      <c r="C429" s="4">
        <v>2</v>
      </c>
      <c r="D429" s="5">
        <v>29.98</v>
      </c>
      <c r="E429" s="4" t="s">
        <v>4508</v>
      </c>
      <c r="F429" s="3" t="s">
        <v>5661</v>
      </c>
      <c r="G429" s="7" t="s">
        <v>6252</v>
      </c>
      <c r="H429" s="3" t="s">
        <v>6280</v>
      </c>
      <c r="I429" s="3" t="s">
        <v>4498</v>
      </c>
      <c r="J429" s="3"/>
      <c r="K429" s="3"/>
      <c r="L429" s="8"/>
    </row>
    <row r="430" spans="1:12" ht="24.75" x14ac:dyDescent="0.25">
      <c r="A430" s="6" t="s">
        <v>4509</v>
      </c>
      <c r="B430" s="3" t="s">
        <v>4510</v>
      </c>
      <c r="C430" s="4">
        <v>1</v>
      </c>
      <c r="D430" s="5">
        <v>14.99</v>
      </c>
      <c r="E430" s="4" t="s">
        <v>4511</v>
      </c>
      <c r="F430" s="3" t="s">
        <v>5661</v>
      </c>
      <c r="G430" s="7" t="s">
        <v>6252</v>
      </c>
      <c r="H430" s="3" t="s">
        <v>6280</v>
      </c>
      <c r="I430" s="3" t="s">
        <v>4498</v>
      </c>
      <c r="J430" s="3"/>
      <c r="K430" s="3"/>
      <c r="L430" s="8"/>
    </row>
    <row r="431" spans="1:12" ht="24.75" x14ac:dyDescent="0.25">
      <c r="A431" s="6" t="s">
        <v>4512</v>
      </c>
      <c r="B431" s="3" t="s">
        <v>4513</v>
      </c>
      <c r="C431" s="4">
        <v>2</v>
      </c>
      <c r="D431" s="5">
        <v>29.98</v>
      </c>
      <c r="E431" s="4" t="s">
        <v>4514</v>
      </c>
      <c r="F431" s="3" t="s">
        <v>5661</v>
      </c>
      <c r="G431" s="7" t="s">
        <v>6252</v>
      </c>
      <c r="H431" s="3" t="s">
        <v>6280</v>
      </c>
      <c r="I431" s="3" t="s">
        <v>4498</v>
      </c>
      <c r="J431" s="3"/>
      <c r="K431" s="3"/>
      <c r="L431" s="8"/>
    </row>
    <row r="432" spans="1:12" ht="24.75" x14ac:dyDescent="0.25">
      <c r="A432" s="6" t="s">
        <v>4515</v>
      </c>
      <c r="B432" s="3" t="s">
        <v>4516</v>
      </c>
      <c r="C432" s="4">
        <v>2</v>
      </c>
      <c r="D432" s="5">
        <v>29.98</v>
      </c>
      <c r="E432" s="4" t="s">
        <v>4517</v>
      </c>
      <c r="F432" s="3" t="s">
        <v>5661</v>
      </c>
      <c r="G432" s="7" t="s">
        <v>6252</v>
      </c>
      <c r="H432" s="3" t="s">
        <v>6280</v>
      </c>
      <c r="I432" s="3" t="s">
        <v>4498</v>
      </c>
      <c r="J432" s="3"/>
      <c r="K432" s="3"/>
      <c r="L432" s="8"/>
    </row>
    <row r="433" spans="1:12" ht="24.75" x14ac:dyDescent="0.25">
      <c r="A433" s="6" t="s">
        <v>4518</v>
      </c>
      <c r="B433" s="3" t="s">
        <v>4503</v>
      </c>
      <c r="C433" s="4">
        <v>2</v>
      </c>
      <c r="D433" s="5">
        <v>29.98</v>
      </c>
      <c r="E433" s="4" t="s">
        <v>4504</v>
      </c>
      <c r="F433" s="3" t="s">
        <v>5552</v>
      </c>
      <c r="G433" s="7" t="s">
        <v>6252</v>
      </c>
      <c r="H433" s="3" t="s">
        <v>6280</v>
      </c>
      <c r="I433" s="3" t="s">
        <v>4498</v>
      </c>
      <c r="J433" s="3"/>
      <c r="K433" s="3"/>
      <c r="L433" s="8"/>
    </row>
    <row r="434" spans="1:12" ht="24.75" x14ac:dyDescent="0.25">
      <c r="A434" s="6" t="s">
        <v>4519</v>
      </c>
      <c r="B434" s="3" t="s">
        <v>4520</v>
      </c>
      <c r="C434" s="4">
        <v>1</v>
      </c>
      <c r="D434" s="5">
        <v>14.99</v>
      </c>
      <c r="E434" s="4" t="s">
        <v>4521</v>
      </c>
      <c r="F434" s="3" t="s">
        <v>5593</v>
      </c>
      <c r="G434" s="7" t="s">
        <v>6252</v>
      </c>
      <c r="H434" s="3" t="s">
        <v>6280</v>
      </c>
      <c r="I434" s="3" t="s">
        <v>4498</v>
      </c>
      <c r="J434" s="3"/>
      <c r="K434" s="3"/>
      <c r="L434" s="8"/>
    </row>
    <row r="435" spans="1:12" ht="24.75" x14ac:dyDescent="0.25">
      <c r="A435" s="6" t="s">
        <v>4522</v>
      </c>
      <c r="B435" s="3" t="s">
        <v>4513</v>
      </c>
      <c r="C435" s="4">
        <v>2</v>
      </c>
      <c r="D435" s="5">
        <v>29.98</v>
      </c>
      <c r="E435" s="4" t="s">
        <v>4514</v>
      </c>
      <c r="F435" s="3" t="s">
        <v>5532</v>
      </c>
      <c r="G435" s="7" t="s">
        <v>6252</v>
      </c>
      <c r="H435" s="3" t="s">
        <v>6280</v>
      </c>
      <c r="I435" s="3" t="s">
        <v>4498</v>
      </c>
      <c r="J435" s="3"/>
      <c r="K435" s="3"/>
      <c r="L435" s="8"/>
    </row>
    <row r="436" spans="1:12" ht="24.75" x14ac:dyDescent="0.25">
      <c r="A436" s="6" t="s">
        <v>4523</v>
      </c>
      <c r="B436" s="3" t="s">
        <v>4524</v>
      </c>
      <c r="C436" s="4">
        <v>2</v>
      </c>
      <c r="D436" s="5">
        <v>29.98</v>
      </c>
      <c r="E436" s="4" t="s">
        <v>4525</v>
      </c>
      <c r="F436" s="3" t="s">
        <v>5661</v>
      </c>
      <c r="G436" s="7" t="s">
        <v>6252</v>
      </c>
      <c r="H436" s="3" t="s">
        <v>6280</v>
      </c>
      <c r="I436" s="3" t="s">
        <v>4498</v>
      </c>
      <c r="J436" s="3"/>
      <c r="K436" s="3"/>
      <c r="L436" s="8"/>
    </row>
    <row r="437" spans="1:12" ht="24.75" x14ac:dyDescent="0.25">
      <c r="A437" s="6" t="s">
        <v>4526</v>
      </c>
      <c r="B437" s="3" t="s">
        <v>4527</v>
      </c>
      <c r="C437" s="4">
        <v>1</v>
      </c>
      <c r="D437" s="5">
        <v>14.99</v>
      </c>
      <c r="E437" s="4" t="s">
        <v>4528</v>
      </c>
      <c r="F437" s="3" t="s">
        <v>6300</v>
      </c>
      <c r="G437" s="7" t="s">
        <v>6252</v>
      </c>
      <c r="H437" s="3" t="s">
        <v>6280</v>
      </c>
      <c r="I437" s="3" t="s">
        <v>4498</v>
      </c>
      <c r="J437" s="3"/>
      <c r="K437" s="3"/>
      <c r="L437" s="8"/>
    </row>
    <row r="438" spans="1:12" ht="24.75" x14ac:dyDescent="0.25">
      <c r="A438" s="6" t="s">
        <v>4529</v>
      </c>
      <c r="B438" s="3" t="s">
        <v>4503</v>
      </c>
      <c r="C438" s="4">
        <v>2</v>
      </c>
      <c r="D438" s="5">
        <v>29.98</v>
      </c>
      <c r="E438" s="4" t="s">
        <v>4504</v>
      </c>
      <c r="F438" s="3" t="s">
        <v>5532</v>
      </c>
      <c r="G438" s="7" t="s">
        <v>6252</v>
      </c>
      <c r="H438" s="3" t="s">
        <v>6280</v>
      </c>
      <c r="I438" s="3" t="s">
        <v>4498</v>
      </c>
      <c r="J438" s="3"/>
      <c r="K438" s="3"/>
      <c r="L438" s="8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19"/>
  <sheetViews>
    <sheetView workbookViewId="0">
      <selection activeCell="E18" sqref="E18"/>
    </sheetView>
  </sheetViews>
  <sheetFormatPr defaultRowHeight="15" x14ac:dyDescent="0.25"/>
  <cols>
    <col min="1" max="1" width="14.28515625" customWidth="1"/>
    <col min="2" max="2" width="18.85546875" customWidth="1"/>
    <col min="3" max="3" width="15" customWidth="1"/>
    <col min="4" max="4" width="10.28515625" customWidth="1"/>
    <col min="5" max="5" width="10.8554687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24.75" x14ac:dyDescent="0.25">
      <c r="A2" s="6" t="s">
        <v>4530</v>
      </c>
      <c r="B2" s="3" t="s">
        <v>4531</v>
      </c>
      <c r="C2" s="4">
        <v>2</v>
      </c>
      <c r="D2" s="5">
        <v>299.98</v>
      </c>
      <c r="E2" s="4" t="s">
        <v>4532</v>
      </c>
      <c r="F2" s="3" t="s">
        <v>5540</v>
      </c>
      <c r="G2" s="7" t="s">
        <v>5562</v>
      </c>
      <c r="H2" s="3" t="s">
        <v>4533</v>
      </c>
      <c r="I2" s="3" t="s">
        <v>4534</v>
      </c>
      <c r="J2" s="3" t="s">
        <v>5536</v>
      </c>
      <c r="K2" s="3" t="s">
        <v>4535</v>
      </c>
      <c r="L2" s="8" t="str">
        <f>HYPERLINK("http://slimages.macys.com/is/image/MCY/14428329 ")</f>
        <v xml:space="preserve">http://slimages.macys.com/is/image/MCY/14428329 </v>
      </c>
    </row>
    <row r="3" spans="1:12" ht="60.75" x14ac:dyDescent="0.25">
      <c r="A3" s="6" t="s">
        <v>4536</v>
      </c>
      <c r="B3" s="3" t="s">
        <v>4537</v>
      </c>
      <c r="C3" s="4">
        <v>20</v>
      </c>
      <c r="D3" s="5">
        <v>775</v>
      </c>
      <c r="E3" s="4" t="s">
        <v>4538</v>
      </c>
      <c r="F3" s="3" t="s">
        <v>5540</v>
      </c>
      <c r="G3" s="7" t="s">
        <v>5533</v>
      </c>
      <c r="H3" s="3" t="s">
        <v>5842</v>
      </c>
      <c r="I3" s="3" t="s">
        <v>5843</v>
      </c>
      <c r="J3" s="3" t="s">
        <v>5536</v>
      </c>
      <c r="K3" s="3" t="s">
        <v>4539</v>
      </c>
      <c r="L3" s="8" t="str">
        <f>HYPERLINK("http://slimages.macys.com/is/image/MCY/14506837 ")</f>
        <v xml:space="preserve">http://slimages.macys.com/is/image/MCY/14506837 </v>
      </c>
    </row>
    <row r="4" spans="1:12" ht="60.75" x14ac:dyDescent="0.25">
      <c r="A4" s="6" t="s">
        <v>4540</v>
      </c>
      <c r="B4" s="3" t="s">
        <v>4537</v>
      </c>
      <c r="C4" s="4">
        <v>24</v>
      </c>
      <c r="D4" s="5">
        <v>930</v>
      </c>
      <c r="E4" s="4" t="s">
        <v>4538</v>
      </c>
      <c r="F4" s="3" t="s">
        <v>5540</v>
      </c>
      <c r="G4" s="7" t="s">
        <v>5596</v>
      </c>
      <c r="H4" s="3" t="s">
        <v>5842</v>
      </c>
      <c r="I4" s="3" t="s">
        <v>5843</v>
      </c>
      <c r="J4" s="3" t="s">
        <v>5536</v>
      </c>
      <c r="K4" s="3" t="s">
        <v>4539</v>
      </c>
      <c r="L4" s="8" t="str">
        <f>HYPERLINK("http://slimages.macys.com/is/image/MCY/14506837 ")</f>
        <v xml:space="preserve">http://slimages.macys.com/is/image/MCY/14506837 </v>
      </c>
    </row>
    <row r="5" spans="1:12" ht="60.75" x14ac:dyDescent="0.25">
      <c r="A5" s="6" t="s">
        <v>4541</v>
      </c>
      <c r="B5" s="3" t="s">
        <v>4537</v>
      </c>
      <c r="C5" s="4">
        <v>20</v>
      </c>
      <c r="D5" s="5">
        <v>775</v>
      </c>
      <c r="E5" s="4" t="s">
        <v>4538</v>
      </c>
      <c r="F5" s="3" t="s">
        <v>5540</v>
      </c>
      <c r="G5" s="7" t="s">
        <v>5562</v>
      </c>
      <c r="H5" s="3" t="s">
        <v>5842</v>
      </c>
      <c r="I5" s="3" t="s">
        <v>5843</v>
      </c>
      <c r="J5" s="3" t="s">
        <v>5536</v>
      </c>
      <c r="K5" s="3" t="s">
        <v>4539</v>
      </c>
      <c r="L5" s="8" t="str">
        <f>HYPERLINK("http://slimages.macys.com/is/image/MCY/14506837 ")</f>
        <v xml:space="preserve">http://slimages.macys.com/is/image/MCY/14506837 </v>
      </c>
    </row>
    <row r="6" spans="1:12" ht="108.75" x14ac:dyDescent="0.25">
      <c r="A6" s="6" t="s">
        <v>4542</v>
      </c>
      <c r="B6" s="3" t="s">
        <v>4543</v>
      </c>
      <c r="C6" s="4">
        <v>70</v>
      </c>
      <c r="D6" s="5">
        <v>2537.5</v>
      </c>
      <c r="E6" s="4" t="s">
        <v>4544</v>
      </c>
      <c r="F6" s="3" t="s">
        <v>5540</v>
      </c>
      <c r="G6" s="7" t="s">
        <v>5596</v>
      </c>
      <c r="H6" s="3" t="s">
        <v>5842</v>
      </c>
      <c r="I6" s="3" t="s">
        <v>5843</v>
      </c>
      <c r="J6" s="3" t="s">
        <v>5536</v>
      </c>
      <c r="K6" s="3" t="s">
        <v>4545</v>
      </c>
      <c r="L6" s="8" t="str">
        <f>HYPERLINK("http://slimages.macys.com/is/image/MCY/14507179 ")</f>
        <v xml:space="preserve">http://slimages.macys.com/is/image/MCY/14507179 </v>
      </c>
    </row>
    <row r="7" spans="1:12" ht="36.75" x14ac:dyDescent="0.25">
      <c r="A7" s="6" t="s">
        <v>4546</v>
      </c>
      <c r="B7" s="3" t="s">
        <v>6094</v>
      </c>
      <c r="C7" s="4">
        <v>28</v>
      </c>
      <c r="D7" s="5">
        <v>1015</v>
      </c>
      <c r="E7" s="4" t="s">
        <v>6095</v>
      </c>
      <c r="F7" s="3" t="s">
        <v>4547</v>
      </c>
      <c r="G7" s="7" t="s">
        <v>5533</v>
      </c>
      <c r="H7" s="3" t="s">
        <v>5842</v>
      </c>
      <c r="I7" s="3" t="s">
        <v>5843</v>
      </c>
      <c r="J7" s="3" t="s">
        <v>5536</v>
      </c>
      <c r="K7" s="3" t="s">
        <v>6096</v>
      </c>
      <c r="L7" s="8" t="str">
        <f>HYPERLINK("http://slimages.macys.com/is/image/MCY/14507447 ")</f>
        <v xml:space="preserve">http://slimages.macys.com/is/image/MCY/14507447 </v>
      </c>
    </row>
    <row r="8" spans="1:12" ht="72.75" x14ac:dyDescent="0.25">
      <c r="A8" s="6" t="s">
        <v>6097</v>
      </c>
      <c r="B8" s="3" t="s">
        <v>6098</v>
      </c>
      <c r="C8" s="4">
        <v>85</v>
      </c>
      <c r="D8" s="5">
        <v>3081.25</v>
      </c>
      <c r="E8" s="4" t="s">
        <v>6099</v>
      </c>
      <c r="F8" s="3" t="s">
        <v>5540</v>
      </c>
      <c r="G8" s="7" t="s">
        <v>5533</v>
      </c>
      <c r="H8" s="3" t="s">
        <v>5842</v>
      </c>
      <c r="I8" s="3" t="s">
        <v>5843</v>
      </c>
      <c r="J8" s="3" t="s">
        <v>5536</v>
      </c>
      <c r="K8" s="3" t="s">
        <v>6100</v>
      </c>
      <c r="L8" s="8" t="str">
        <f>HYPERLINK("http://slimages.macys.com/is/image/MCY/14506916 ")</f>
        <v xml:space="preserve">http://slimages.macys.com/is/image/MCY/14506916 </v>
      </c>
    </row>
    <row r="9" spans="1:12" ht="84.75" x14ac:dyDescent="0.25">
      <c r="A9" s="6" t="s">
        <v>6103</v>
      </c>
      <c r="B9" s="3" t="s">
        <v>6104</v>
      </c>
      <c r="C9" s="4">
        <v>87</v>
      </c>
      <c r="D9" s="5">
        <v>3153.75</v>
      </c>
      <c r="E9" s="4" t="s">
        <v>6105</v>
      </c>
      <c r="F9" s="3" t="s">
        <v>5540</v>
      </c>
      <c r="G9" s="7" t="s">
        <v>5596</v>
      </c>
      <c r="H9" s="3" t="s">
        <v>5842</v>
      </c>
      <c r="I9" s="3" t="s">
        <v>5843</v>
      </c>
      <c r="J9" s="3" t="s">
        <v>5536</v>
      </c>
      <c r="K9" s="3" t="s">
        <v>6106</v>
      </c>
      <c r="L9" s="8" t="str">
        <f>HYPERLINK("http://slimages.macys.com/is/image/MCY/14506653 ")</f>
        <v xml:space="preserve">http://slimages.macys.com/is/image/MCY/14506653 </v>
      </c>
    </row>
    <row r="10" spans="1:12" ht="72.75" x14ac:dyDescent="0.25">
      <c r="A10" s="6" t="s">
        <v>4548</v>
      </c>
      <c r="B10" s="3" t="s">
        <v>6098</v>
      </c>
      <c r="C10" s="4">
        <v>2</v>
      </c>
      <c r="D10" s="5">
        <v>72.5</v>
      </c>
      <c r="E10" s="4" t="s">
        <v>6099</v>
      </c>
      <c r="F10" s="3" t="s">
        <v>5540</v>
      </c>
      <c r="G10" s="7" t="s">
        <v>5562</v>
      </c>
      <c r="H10" s="3" t="s">
        <v>5842</v>
      </c>
      <c r="I10" s="3" t="s">
        <v>5843</v>
      </c>
      <c r="J10" s="3" t="s">
        <v>5536</v>
      </c>
      <c r="K10" s="3" t="s">
        <v>6100</v>
      </c>
      <c r="L10" s="8" t="str">
        <f>HYPERLINK("http://slimages.macys.com/is/image/MCY/14506916 ")</f>
        <v xml:space="preserve">http://slimages.macys.com/is/image/MCY/14506916 </v>
      </c>
    </row>
    <row r="11" spans="1:12" ht="72.75" x14ac:dyDescent="0.25">
      <c r="A11" s="6" t="s">
        <v>6123</v>
      </c>
      <c r="B11" s="3" t="s">
        <v>6120</v>
      </c>
      <c r="C11" s="4">
        <v>95</v>
      </c>
      <c r="D11" s="5">
        <v>3266.1</v>
      </c>
      <c r="E11" s="4" t="s">
        <v>6121</v>
      </c>
      <c r="F11" s="3" t="s">
        <v>5540</v>
      </c>
      <c r="G11" s="7" t="s">
        <v>5562</v>
      </c>
      <c r="H11" s="3" t="s">
        <v>5842</v>
      </c>
      <c r="I11" s="3" t="s">
        <v>5843</v>
      </c>
      <c r="J11" s="3" t="s">
        <v>5536</v>
      </c>
      <c r="K11" s="3" t="s">
        <v>6122</v>
      </c>
      <c r="L11" s="8" t="str">
        <f>HYPERLINK("http://slimages.macys.com/is/image/MCY/15251818 ")</f>
        <v xml:space="preserve">http://slimages.macys.com/is/image/MCY/15251818 </v>
      </c>
    </row>
    <row r="12" spans="1:12" ht="72.75" x14ac:dyDescent="0.25">
      <c r="A12" s="6" t="s">
        <v>6119</v>
      </c>
      <c r="B12" s="3" t="s">
        <v>6120</v>
      </c>
      <c r="C12" s="4">
        <v>372</v>
      </c>
      <c r="D12" s="5">
        <v>12789.36</v>
      </c>
      <c r="E12" s="4" t="s">
        <v>6121</v>
      </c>
      <c r="F12" s="3" t="s">
        <v>5540</v>
      </c>
      <c r="G12" s="7" t="s">
        <v>5533</v>
      </c>
      <c r="H12" s="3" t="s">
        <v>5842</v>
      </c>
      <c r="I12" s="3" t="s">
        <v>5843</v>
      </c>
      <c r="J12" s="3" t="s">
        <v>5536</v>
      </c>
      <c r="K12" s="3" t="s">
        <v>6122</v>
      </c>
      <c r="L12" s="8" t="str">
        <f>HYPERLINK("http://slimages.macys.com/is/image/MCY/15251818 ")</f>
        <v xml:space="preserve">http://slimages.macys.com/is/image/MCY/15251818 </v>
      </c>
    </row>
    <row r="13" spans="1:12" ht="72.75" x14ac:dyDescent="0.25">
      <c r="A13" s="6" t="s">
        <v>6124</v>
      </c>
      <c r="B13" s="3" t="s">
        <v>6120</v>
      </c>
      <c r="C13" s="4">
        <v>65</v>
      </c>
      <c r="D13" s="5">
        <v>2234.6999999999998</v>
      </c>
      <c r="E13" s="4" t="s">
        <v>6121</v>
      </c>
      <c r="F13" s="3" t="s">
        <v>5540</v>
      </c>
      <c r="G13" s="7" t="s">
        <v>5596</v>
      </c>
      <c r="H13" s="3" t="s">
        <v>5842</v>
      </c>
      <c r="I13" s="3" t="s">
        <v>5843</v>
      </c>
      <c r="J13" s="3" t="s">
        <v>5536</v>
      </c>
      <c r="K13" s="3" t="s">
        <v>6122</v>
      </c>
      <c r="L13" s="8" t="str">
        <f>HYPERLINK("http://slimages.macys.com/is/image/MCY/15251818 ")</f>
        <v xml:space="preserve">http://slimages.macys.com/is/image/MCY/15251818 </v>
      </c>
    </row>
    <row r="14" spans="1:12" ht="24.75" x14ac:dyDescent="0.25">
      <c r="A14" s="6" t="s">
        <v>6210</v>
      </c>
      <c r="B14" s="3" t="s">
        <v>6199</v>
      </c>
      <c r="C14" s="4">
        <v>62</v>
      </c>
      <c r="D14" s="5">
        <v>1860</v>
      </c>
      <c r="E14" s="4" t="s">
        <v>6200</v>
      </c>
      <c r="F14" s="3" t="s">
        <v>5540</v>
      </c>
      <c r="G14" s="7" t="s">
        <v>5533</v>
      </c>
      <c r="H14" s="3" t="s">
        <v>5842</v>
      </c>
      <c r="I14" s="3" t="s">
        <v>5843</v>
      </c>
      <c r="J14" s="3" t="s">
        <v>5536</v>
      </c>
      <c r="K14" s="3" t="s">
        <v>5727</v>
      </c>
      <c r="L14" s="8" t="str">
        <f>HYPERLINK("http://slimages.macys.com/is/image/MCY/14506440 ")</f>
        <v xml:space="preserve">http://slimages.macys.com/is/image/MCY/14506440 </v>
      </c>
    </row>
    <row r="15" spans="1:12" ht="24.75" x14ac:dyDescent="0.25">
      <c r="A15" s="6" t="s">
        <v>6198</v>
      </c>
      <c r="B15" s="3" t="s">
        <v>6199</v>
      </c>
      <c r="C15" s="4">
        <v>22</v>
      </c>
      <c r="D15" s="5">
        <v>660</v>
      </c>
      <c r="E15" s="4" t="s">
        <v>6200</v>
      </c>
      <c r="F15" s="3" t="s">
        <v>5540</v>
      </c>
      <c r="G15" s="7" t="s">
        <v>5596</v>
      </c>
      <c r="H15" s="3" t="s">
        <v>5842</v>
      </c>
      <c r="I15" s="3" t="s">
        <v>5843</v>
      </c>
      <c r="J15" s="3" t="s">
        <v>5536</v>
      </c>
      <c r="K15" s="3" t="s">
        <v>5727</v>
      </c>
      <c r="L15" s="8" t="str">
        <f>HYPERLINK("http://slimages.macys.com/is/image/MCY/14506440 ")</f>
        <v xml:space="preserve">http://slimages.macys.com/is/image/MCY/14506440 </v>
      </c>
    </row>
    <row r="16" spans="1:12" ht="24.75" x14ac:dyDescent="0.25">
      <c r="A16" s="6" t="s">
        <v>4549</v>
      </c>
      <c r="B16" s="3" t="s">
        <v>4550</v>
      </c>
      <c r="C16" s="4">
        <v>1</v>
      </c>
      <c r="D16" s="5">
        <v>20</v>
      </c>
      <c r="E16" s="4" t="s">
        <v>4551</v>
      </c>
      <c r="F16" s="3" t="s">
        <v>5546</v>
      </c>
      <c r="G16" s="7" t="s">
        <v>6252</v>
      </c>
      <c r="H16" s="3" t="s">
        <v>4471</v>
      </c>
      <c r="I16" s="3" t="s">
        <v>6800</v>
      </c>
      <c r="J16" s="3" t="s">
        <v>5536</v>
      </c>
      <c r="K16" s="3" t="s">
        <v>6133</v>
      </c>
      <c r="L16" s="8" t="str">
        <f>HYPERLINK("http://slimages.macys.com/is/image/MCY/15561254 ")</f>
        <v xml:space="preserve">http://slimages.macys.com/is/image/MCY/15561254 </v>
      </c>
    </row>
    <row r="17" spans="1:12" ht="36.75" x14ac:dyDescent="0.25">
      <c r="A17" s="6" t="s">
        <v>6611</v>
      </c>
      <c r="B17" s="3" t="s">
        <v>6612</v>
      </c>
      <c r="C17" s="4">
        <v>11</v>
      </c>
      <c r="D17" s="5">
        <v>229.68</v>
      </c>
      <c r="E17" s="4" t="s">
        <v>6613</v>
      </c>
      <c r="F17" s="3" t="s">
        <v>5540</v>
      </c>
      <c r="G17" s="7" t="s">
        <v>5533</v>
      </c>
      <c r="H17" s="3" t="s">
        <v>5842</v>
      </c>
      <c r="I17" s="3" t="s">
        <v>5843</v>
      </c>
      <c r="J17" s="3" t="s">
        <v>5536</v>
      </c>
      <c r="K17" s="3" t="s">
        <v>6614</v>
      </c>
      <c r="L17" s="8" t="str">
        <f>HYPERLINK("http://slimages.macys.com/is/image/MCY/15251823 ")</f>
        <v xml:space="preserve">http://slimages.macys.com/is/image/MCY/15251823 </v>
      </c>
    </row>
    <row r="18" spans="1:12" ht="36.75" x14ac:dyDescent="0.25">
      <c r="A18" s="6" t="s">
        <v>6616</v>
      </c>
      <c r="B18" s="3" t="s">
        <v>6612</v>
      </c>
      <c r="C18" s="4">
        <v>64</v>
      </c>
      <c r="D18" s="5">
        <v>1336.32</v>
      </c>
      <c r="E18" s="4" t="s">
        <v>6613</v>
      </c>
      <c r="F18" s="3" t="s">
        <v>5540</v>
      </c>
      <c r="G18" s="7" t="s">
        <v>5562</v>
      </c>
      <c r="H18" s="3" t="s">
        <v>5842</v>
      </c>
      <c r="I18" s="3" t="s">
        <v>5843</v>
      </c>
      <c r="J18" s="3" t="s">
        <v>5536</v>
      </c>
      <c r="K18" s="3" t="s">
        <v>6614</v>
      </c>
      <c r="L18" s="8" t="str">
        <f>HYPERLINK("http://slimages.macys.com/is/image/MCY/15251823 ")</f>
        <v xml:space="preserve">http://slimages.macys.com/is/image/MCY/15251823 </v>
      </c>
    </row>
    <row r="19" spans="1:12" ht="24.75" x14ac:dyDescent="0.25">
      <c r="A19" s="6" t="s">
        <v>4552</v>
      </c>
      <c r="B19" s="3" t="s">
        <v>4553</v>
      </c>
      <c r="C19" s="4">
        <v>1</v>
      </c>
      <c r="D19" s="5">
        <v>12.99</v>
      </c>
      <c r="E19" s="4" t="s">
        <v>4554</v>
      </c>
      <c r="F19" s="3" t="s">
        <v>5640</v>
      </c>
      <c r="G19" s="7" t="s">
        <v>5898</v>
      </c>
      <c r="H19" s="3" t="s">
        <v>4471</v>
      </c>
      <c r="I19" s="3" t="s">
        <v>4351</v>
      </c>
      <c r="J19" s="3" t="s">
        <v>5536</v>
      </c>
      <c r="K19" s="3" t="s">
        <v>5844</v>
      </c>
      <c r="L19" s="8" t="str">
        <f>HYPERLINK("http://slimages.macys.com/is/image/MCY/10048995 ")</f>
        <v xml:space="preserve">http://slimages.macys.com/is/image/MCY/10048995 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475"/>
  <sheetViews>
    <sheetView workbookViewId="0">
      <selection activeCell="E18" sqref="E18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3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24.75" x14ac:dyDescent="0.25">
      <c r="A2" s="6" t="s">
        <v>4555</v>
      </c>
      <c r="B2" s="3" t="s">
        <v>4556</v>
      </c>
      <c r="C2" s="4">
        <v>1</v>
      </c>
      <c r="D2" s="5">
        <v>224</v>
      </c>
      <c r="E2" s="4" t="s">
        <v>4557</v>
      </c>
      <c r="F2" s="3" t="s">
        <v>5532</v>
      </c>
      <c r="G2" s="7" t="s">
        <v>4558</v>
      </c>
      <c r="H2" s="3" t="s">
        <v>7053</v>
      </c>
      <c r="I2" s="3" t="s">
        <v>7202</v>
      </c>
      <c r="J2" s="3" t="s">
        <v>5536</v>
      </c>
      <c r="K2" s="3" t="s">
        <v>4559</v>
      </c>
      <c r="L2" s="8" t="str">
        <f>HYPERLINK("http://slimages.macys.com/is/image/MCY/8252252 ")</f>
        <v xml:space="preserve">http://slimages.macys.com/is/image/MCY/8252252 </v>
      </c>
    </row>
    <row r="3" spans="1:12" ht="48.75" x14ac:dyDescent="0.25">
      <c r="A3" s="6" t="s">
        <v>4560</v>
      </c>
      <c r="B3" s="3" t="s">
        <v>4561</v>
      </c>
      <c r="C3" s="4">
        <v>1</v>
      </c>
      <c r="D3" s="5">
        <v>210</v>
      </c>
      <c r="E3" s="4" t="s">
        <v>4562</v>
      </c>
      <c r="F3" s="3" t="s">
        <v>5532</v>
      </c>
      <c r="G3" s="7" t="s">
        <v>4563</v>
      </c>
      <c r="H3" s="3" t="s">
        <v>7099</v>
      </c>
      <c r="I3" s="3" t="s">
        <v>5934</v>
      </c>
      <c r="J3" s="3" t="s">
        <v>5536</v>
      </c>
      <c r="K3" s="3" t="s">
        <v>4564</v>
      </c>
      <c r="L3" s="8" t="str">
        <f>HYPERLINK("http://slimages.macys.com/is/image/MCY/14463624 ")</f>
        <v xml:space="preserve">http://slimages.macys.com/is/image/MCY/14463624 </v>
      </c>
    </row>
    <row r="4" spans="1:12" ht="48.75" x14ac:dyDescent="0.25">
      <c r="A4" s="6" t="s">
        <v>4565</v>
      </c>
      <c r="B4" s="3" t="s">
        <v>4566</v>
      </c>
      <c r="C4" s="4">
        <v>1</v>
      </c>
      <c r="D4" s="5">
        <v>210</v>
      </c>
      <c r="E4" s="4" t="s">
        <v>4567</v>
      </c>
      <c r="F4" s="3" t="s">
        <v>5803</v>
      </c>
      <c r="G4" s="7" t="s">
        <v>4568</v>
      </c>
      <c r="H4" s="3" t="s">
        <v>7099</v>
      </c>
      <c r="I4" s="3" t="s">
        <v>5934</v>
      </c>
      <c r="J4" s="3" t="s">
        <v>5536</v>
      </c>
      <c r="K4" s="3" t="s">
        <v>4564</v>
      </c>
      <c r="L4" s="8" t="str">
        <f>HYPERLINK("http://slimages.macys.com/is/image/MCY/13947272 ")</f>
        <v xml:space="preserve">http://slimages.macys.com/is/image/MCY/13947272 </v>
      </c>
    </row>
    <row r="5" spans="1:12" ht="36.75" x14ac:dyDescent="0.25">
      <c r="A5" s="6" t="s">
        <v>4569</v>
      </c>
      <c r="B5" s="3" t="s">
        <v>4570</v>
      </c>
      <c r="C5" s="4">
        <v>1</v>
      </c>
      <c r="D5" s="5">
        <v>165</v>
      </c>
      <c r="E5" s="4" t="s">
        <v>4571</v>
      </c>
      <c r="F5" s="3" t="s">
        <v>5625</v>
      </c>
      <c r="G5" s="7" t="s">
        <v>4572</v>
      </c>
      <c r="H5" s="3" t="s">
        <v>7099</v>
      </c>
      <c r="I5" s="3" t="s">
        <v>4573</v>
      </c>
      <c r="J5" s="3" t="s">
        <v>5536</v>
      </c>
      <c r="K5" s="3" t="s">
        <v>7038</v>
      </c>
      <c r="L5" s="8" t="str">
        <f>HYPERLINK("http://slimages.macys.com/is/image/MCY/14330430 ")</f>
        <v xml:space="preserve">http://slimages.macys.com/is/image/MCY/14330430 </v>
      </c>
    </row>
    <row r="6" spans="1:12" ht="48.75" x14ac:dyDescent="0.25">
      <c r="A6" s="6" t="s">
        <v>4574</v>
      </c>
      <c r="B6" s="3" t="s">
        <v>4575</v>
      </c>
      <c r="C6" s="4">
        <v>1</v>
      </c>
      <c r="D6" s="5">
        <v>187</v>
      </c>
      <c r="E6" s="4" t="s">
        <v>4576</v>
      </c>
      <c r="F6" s="3" t="s">
        <v>5532</v>
      </c>
      <c r="G6" s="7" t="s">
        <v>4577</v>
      </c>
      <c r="H6" s="3" t="s">
        <v>7059</v>
      </c>
      <c r="I6" s="3" t="s">
        <v>5934</v>
      </c>
      <c r="J6" s="3" t="s">
        <v>5536</v>
      </c>
      <c r="K6" s="3" t="s">
        <v>4578</v>
      </c>
      <c r="L6" s="8" t="str">
        <f>HYPERLINK("http://slimages.macys.com/is/image/MCY/13741781 ")</f>
        <v xml:space="preserve">http://slimages.macys.com/is/image/MCY/13741781 </v>
      </c>
    </row>
    <row r="7" spans="1:12" ht="48.75" x14ac:dyDescent="0.25">
      <c r="A7" s="6" t="s">
        <v>4579</v>
      </c>
      <c r="B7" s="3" t="s">
        <v>4580</v>
      </c>
      <c r="C7" s="4">
        <v>1</v>
      </c>
      <c r="D7" s="5">
        <v>187</v>
      </c>
      <c r="E7" s="4" t="s">
        <v>4581</v>
      </c>
      <c r="F7" s="3" t="s">
        <v>5532</v>
      </c>
      <c r="G7" s="7" t="s">
        <v>4577</v>
      </c>
      <c r="H7" s="3" t="s">
        <v>7059</v>
      </c>
      <c r="I7" s="3" t="s">
        <v>5934</v>
      </c>
      <c r="J7" s="3" t="s">
        <v>5536</v>
      </c>
      <c r="K7" s="3" t="s">
        <v>4564</v>
      </c>
      <c r="L7" s="8" t="str">
        <f>HYPERLINK("http://slimages.macys.com/is/image/MCY/13984590 ")</f>
        <v xml:space="preserve">http://slimages.macys.com/is/image/MCY/13984590 </v>
      </c>
    </row>
    <row r="8" spans="1:12" ht="48.75" x14ac:dyDescent="0.25">
      <c r="A8" s="6" t="s">
        <v>4582</v>
      </c>
      <c r="B8" s="3" t="s">
        <v>4580</v>
      </c>
      <c r="C8" s="4">
        <v>1</v>
      </c>
      <c r="D8" s="5">
        <v>187</v>
      </c>
      <c r="E8" s="4" t="s">
        <v>4581</v>
      </c>
      <c r="F8" s="3" t="s">
        <v>5532</v>
      </c>
      <c r="G8" s="7" t="s">
        <v>4583</v>
      </c>
      <c r="H8" s="3" t="s">
        <v>7059</v>
      </c>
      <c r="I8" s="3" t="s">
        <v>5934</v>
      </c>
      <c r="J8" s="3" t="s">
        <v>5536</v>
      </c>
      <c r="K8" s="3" t="s">
        <v>4564</v>
      </c>
      <c r="L8" s="8" t="str">
        <f>HYPERLINK("http://slimages.macys.com/is/image/MCY/13984590 ")</f>
        <v xml:space="preserve">http://slimages.macys.com/is/image/MCY/13984590 </v>
      </c>
    </row>
    <row r="9" spans="1:12" ht="48.75" x14ac:dyDescent="0.25">
      <c r="A9" s="6" t="s">
        <v>4584</v>
      </c>
      <c r="B9" s="3" t="s">
        <v>4575</v>
      </c>
      <c r="C9" s="4">
        <v>1</v>
      </c>
      <c r="D9" s="5">
        <v>187</v>
      </c>
      <c r="E9" s="4" t="s">
        <v>4576</v>
      </c>
      <c r="F9" s="3" t="s">
        <v>5532</v>
      </c>
      <c r="G9" s="7" t="s">
        <v>4583</v>
      </c>
      <c r="H9" s="3" t="s">
        <v>7059</v>
      </c>
      <c r="I9" s="3" t="s">
        <v>5934</v>
      </c>
      <c r="J9" s="3" t="s">
        <v>5536</v>
      </c>
      <c r="K9" s="3" t="s">
        <v>4578</v>
      </c>
      <c r="L9" s="8" t="str">
        <f>HYPERLINK("http://slimages.macys.com/is/image/MCY/13741781 ")</f>
        <v xml:space="preserve">http://slimages.macys.com/is/image/MCY/13741781 </v>
      </c>
    </row>
    <row r="10" spans="1:12" ht="24.75" x14ac:dyDescent="0.25">
      <c r="A10" s="6" t="s">
        <v>4585</v>
      </c>
      <c r="B10" s="3" t="s">
        <v>4586</v>
      </c>
      <c r="C10" s="4">
        <v>1</v>
      </c>
      <c r="D10" s="5">
        <v>178</v>
      </c>
      <c r="E10" s="4" t="s">
        <v>4587</v>
      </c>
      <c r="F10" s="3" t="s">
        <v>5783</v>
      </c>
      <c r="G10" s="7" t="s">
        <v>4588</v>
      </c>
      <c r="H10" s="3" t="s">
        <v>7053</v>
      </c>
      <c r="I10" s="3" t="s">
        <v>4589</v>
      </c>
      <c r="J10" s="3" t="s">
        <v>5536</v>
      </c>
      <c r="K10" s="3" t="s">
        <v>4590</v>
      </c>
      <c r="L10" s="8" t="str">
        <f>HYPERLINK("http://slimages.macys.com/is/image/MCY/15946256 ")</f>
        <v xml:space="preserve">http://slimages.macys.com/is/image/MCY/15946256 </v>
      </c>
    </row>
    <row r="11" spans="1:12" ht="24.75" x14ac:dyDescent="0.25">
      <c r="A11" s="6" t="s">
        <v>4591</v>
      </c>
      <c r="B11" s="3" t="s">
        <v>4592</v>
      </c>
      <c r="C11" s="4">
        <v>1</v>
      </c>
      <c r="D11" s="5">
        <v>134</v>
      </c>
      <c r="E11" s="4" t="s">
        <v>4593</v>
      </c>
      <c r="F11" s="3" t="s">
        <v>5532</v>
      </c>
      <c r="G11" s="7" t="s">
        <v>7058</v>
      </c>
      <c r="H11" s="3" t="s">
        <v>7059</v>
      </c>
      <c r="I11" s="3" t="s">
        <v>5934</v>
      </c>
      <c r="J11" s="3" t="s">
        <v>5536</v>
      </c>
      <c r="K11" s="3" t="s">
        <v>4594</v>
      </c>
      <c r="L11" s="8" t="str">
        <f>HYPERLINK("http://slimages.macys.com/is/image/MCY/14989251 ")</f>
        <v xml:space="preserve">http://slimages.macys.com/is/image/MCY/14989251 </v>
      </c>
    </row>
    <row r="12" spans="1:12" ht="24.75" x14ac:dyDescent="0.25">
      <c r="A12" s="6" t="s">
        <v>4595</v>
      </c>
      <c r="B12" s="3" t="s">
        <v>4592</v>
      </c>
      <c r="C12" s="4">
        <v>1</v>
      </c>
      <c r="D12" s="5">
        <v>134</v>
      </c>
      <c r="E12" s="4" t="s">
        <v>4593</v>
      </c>
      <c r="F12" s="3" t="s">
        <v>5532</v>
      </c>
      <c r="G12" s="7" t="s">
        <v>4596</v>
      </c>
      <c r="H12" s="3" t="s">
        <v>7059</v>
      </c>
      <c r="I12" s="3" t="s">
        <v>5934</v>
      </c>
      <c r="J12" s="3" t="s">
        <v>5536</v>
      </c>
      <c r="K12" s="3" t="s">
        <v>4594</v>
      </c>
      <c r="L12" s="8" t="str">
        <f>HYPERLINK("http://slimages.macys.com/is/image/MCY/14989251 ")</f>
        <v xml:space="preserve">http://slimages.macys.com/is/image/MCY/14989251 </v>
      </c>
    </row>
    <row r="13" spans="1:12" ht="24.75" x14ac:dyDescent="0.25">
      <c r="A13" s="6" t="s">
        <v>4597</v>
      </c>
      <c r="B13" s="3" t="s">
        <v>4598</v>
      </c>
      <c r="C13" s="4">
        <v>1</v>
      </c>
      <c r="D13" s="5">
        <v>175</v>
      </c>
      <c r="E13" s="4" t="s">
        <v>4599</v>
      </c>
      <c r="F13" s="3" t="s">
        <v>5532</v>
      </c>
      <c r="G13" s="7" t="s">
        <v>5562</v>
      </c>
      <c r="H13" s="3" t="s">
        <v>4600</v>
      </c>
      <c r="I13" s="3" t="s">
        <v>4601</v>
      </c>
      <c r="J13" s="3" t="s">
        <v>5536</v>
      </c>
      <c r="K13" s="3" t="s">
        <v>6021</v>
      </c>
      <c r="L13" s="8" t="str">
        <f>HYPERLINK("http://slimages.macys.com/is/image/MCY/14426418 ")</f>
        <v xml:space="preserve">http://slimages.macys.com/is/image/MCY/14426418 </v>
      </c>
    </row>
    <row r="14" spans="1:12" ht="60.75" x14ac:dyDescent="0.25">
      <c r="A14" s="6" t="s">
        <v>4602</v>
      </c>
      <c r="B14" s="3" t="s">
        <v>4603</v>
      </c>
      <c r="C14" s="4">
        <v>1</v>
      </c>
      <c r="D14" s="5">
        <v>148</v>
      </c>
      <c r="E14" s="4" t="s">
        <v>4604</v>
      </c>
      <c r="F14" s="3" t="s">
        <v>5532</v>
      </c>
      <c r="G14" s="7" t="s">
        <v>4605</v>
      </c>
      <c r="H14" s="3" t="s">
        <v>7053</v>
      </c>
      <c r="I14" s="3" t="s">
        <v>4606</v>
      </c>
      <c r="J14" s="3" t="s">
        <v>5536</v>
      </c>
      <c r="K14" s="3" t="s">
        <v>4607</v>
      </c>
      <c r="L14" s="8" t="str">
        <f>HYPERLINK("http://slimages.macys.com/is/image/MCY/13299007 ")</f>
        <v xml:space="preserve">http://slimages.macys.com/is/image/MCY/13299007 </v>
      </c>
    </row>
    <row r="15" spans="1:12" ht="48.75" x14ac:dyDescent="0.25">
      <c r="A15" s="6" t="s">
        <v>4608</v>
      </c>
      <c r="B15" s="3" t="s">
        <v>4609</v>
      </c>
      <c r="C15" s="4">
        <v>1</v>
      </c>
      <c r="D15" s="5">
        <v>165</v>
      </c>
      <c r="E15" s="4" t="s">
        <v>4610</v>
      </c>
      <c r="F15" s="3" t="s">
        <v>5532</v>
      </c>
      <c r="G15" s="7" t="s">
        <v>7052</v>
      </c>
      <c r="H15" s="3" t="s">
        <v>4611</v>
      </c>
      <c r="I15" s="3" t="s">
        <v>4612</v>
      </c>
      <c r="J15" s="3" t="s">
        <v>5536</v>
      </c>
      <c r="K15" s="3" t="s">
        <v>4613</v>
      </c>
      <c r="L15" s="8" t="str">
        <f>HYPERLINK("http://slimages.macys.com/is/image/MCY/14442353 ")</f>
        <v xml:space="preserve">http://slimages.macys.com/is/image/MCY/14442353 </v>
      </c>
    </row>
    <row r="16" spans="1:12" ht="24.75" x14ac:dyDescent="0.25">
      <c r="A16" s="6" t="s">
        <v>4614</v>
      </c>
      <c r="B16" s="3" t="s">
        <v>4615</v>
      </c>
      <c r="C16" s="4">
        <v>1</v>
      </c>
      <c r="D16" s="5">
        <v>134</v>
      </c>
      <c r="E16" s="4" t="s">
        <v>4616</v>
      </c>
      <c r="F16" s="3" t="s">
        <v>5820</v>
      </c>
      <c r="G16" s="7" t="s">
        <v>4583</v>
      </c>
      <c r="H16" s="3" t="s">
        <v>7059</v>
      </c>
      <c r="I16" s="3" t="s">
        <v>5934</v>
      </c>
      <c r="J16" s="3" t="s">
        <v>5536</v>
      </c>
      <c r="K16" s="3" t="s">
        <v>4594</v>
      </c>
      <c r="L16" s="8" t="str">
        <f t="shared" ref="L16:L21" si="0">HYPERLINK("http://slimages.macys.com/is/image/MCY/14989251 ")</f>
        <v xml:space="preserve">http://slimages.macys.com/is/image/MCY/14989251 </v>
      </c>
    </row>
    <row r="17" spans="1:12" ht="24.75" x14ac:dyDescent="0.25">
      <c r="A17" s="6" t="s">
        <v>4617</v>
      </c>
      <c r="B17" s="3" t="s">
        <v>4615</v>
      </c>
      <c r="C17" s="4">
        <v>1</v>
      </c>
      <c r="D17" s="5">
        <v>134</v>
      </c>
      <c r="E17" s="4" t="s">
        <v>4616</v>
      </c>
      <c r="F17" s="3" t="s">
        <v>5820</v>
      </c>
      <c r="G17" s="7" t="s">
        <v>4618</v>
      </c>
      <c r="H17" s="3" t="s">
        <v>7059</v>
      </c>
      <c r="I17" s="3" t="s">
        <v>5934</v>
      </c>
      <c r="J17" s="3" t="s">
        <v>5536</v>
      </c>
      <c r="K17" s="3" t="s">
        <v>4594</v>
      </c>
      <c r="L17" s="8" t="str">
        <f t="shared" si="0"/>
        <v xml:space="preserve">http://slimages.macys.com/is/image/MCY/14989251 </v>
      </c>
    </row>
    <row r="18" spans="1:12" ht="24.75" x14ac:dyDescent="0.25">
      <c r="A18" s="6" t="s">
        <v>4619</v>
      </c>
      <c r="B18" s="3" t="s">
        <v>4615</v>
      </c>
      <c r="C18" s="4">
        <v>1</v>
      </c>
      <c r="D18" s="5">
        <v>134</v>
      </c>
      <c r="E18" s="4" t="s">
        <v>4616</v>
      </c>
      <c r="F18" s="3" t="s">
        <v>5820</v>
      </c>
      <c r="G18" s="7" t="s">
        <v>4620</v>
      </c>
      <c r="H18" s="3" t="s">
        <v>7059</v>
      </c>
      <c r="I18" s="3" t="s">
        <v>5934</v>
      </c>
      <c r="J18" s="3" t="s">
        <v>5536</v>
      </c>
      <c r="K18" s="3" t="s">
        <v>4594</v>
      </c>
      <c r="L18" s="8" t="str">
        <f t="shared" si="0"/>
        <v xml:space="preserve">http://slimages.macys.com/is/image/MCY/14989251 </v>
      </c>
    </row>
    <row r="19" spans="1:12" ht="24.75" x14ac:dyDescent="0.25">
      <c r="A19" s="6" t="s">
        <v>4621</v>
      </c>
      <c r="B19" s="3" t="s">
        <v>4622</v>
      </c>
      <c r="C19" s="4">
        <v>1</v>
      </c>
      <c r="D19" s="5">
        <v>134</v>
      </c>
      <c r="E19" s="4" t="s">
        <v>4623</v>
      </c>
      <c r="F19" s="3" t="s">
        <v>5532</v>
      </c>
      <c r="G19" s="7" t="s">
        <v>4588</v>
      </c>
      <c r="H19" s="3" t="s">
        <v>7059</v>
      </c>
      <c r="I19" s="3" t="s">
        <v>5934</v>
      </c>
      <c r="J19" s="3" t="s">
        <v>5536</v>
      </c>
      <c r="K19" s="3" t="s">
        <v>4594</v>
      </c>
      <c r="L19" s="8" t="str">
        <f t="shared" si="0"/>
        <v xml:space="preserve">http://slimages.macys.com/is/image/MCY/14989251 </v>
      </c>
    </row>
    <row r="20" spans="1:12" ht="24.75" x14ac:dyDescent="0.25">
      <c r="A20" s="6" t="s">
        <v>4624</v>
      </c>
      <c r="B20" s="3" t="s">
        <v>4622</v>
      </c>
      <c r="C20" s="4">
        <v>1</v>
      </c>
      <c r="D20" s="5">
        <v>134</v>
      </c>
      <c r="E20" s="4" t="s">
        <v>4623</v>
      </c>
      <c r="F20" s="3" t="s">
        <v>5532</v>
      </c>
      <c r="G20" s="7" t="s">
        <v>4563</v>
      </c>
      <c r="H20" s="3" t="s">
        <v>7059</v>
      </c>
      <c r="I20" s="3" t="s">
        <v>5934</v>
      </c>
      <c r="J20" s="3" t="s">
        <v>5536</v>
      </c>
      <c r="K20" s="3" t="s">
        <v>4594</v>
      </c>
      <c r="L20" s="8" t="str">
        <f t="shared" si="0"/>
        <v xml:space="preserve">http://slimages.macys.com/is/image/MCY/14989251 </v>
      </c>
    </row>
    <row r="21" spans="1:12" ht="24.75" x14ac:dyDescent="0.25">
      <c r="A21" s="6" t="s">
        <v>4625</v>
      </c>
      <c r="B21" s="3" t="s">
        <v>4626</v>
      </c>
      <c r="C21" s="4">
        <v>1</v>
      </c>
      <c r="D21" s="5">
        <v>134</v>
      </c>
      <c r="E21" s="4" t="s">
        <v>4627</v>
      </c>
      <c r="F21" s="3" t="s">
        <v>7010</v>
      </c>
      <c r="G21" s="7" t="s">
        <v>4628</v>
      </c>
      <c r="H21" s="3" t="s">
        <v>7059</v>
      </c>
      <c r="I21" s="3" t="s">
        <v>5934</v>
      </c>
      <c r="J21" s="3" t="s">
        <v>5536</v>
      </c>
      <c r="K21" s="3" t="s">
        <v>4594</v>
      </c>
      <c r="L21" s="8" t="str">
        <f t="shared" si="0"/>
        <v xml:space="preserve">http://slimages.macys.com/is/image/MCY/14989251 </v>
      </c>
    </row>
    <row r="22" spans="1:12" ht="48.75" x14ac:dyDescent="0.25">
      <c r="A22" s="6" t="s">
        <v>4629</v>
      </c>
      <c r="B22" s="3" t="s">
        <v>4630</v>
      </c>
      <c r="C22" s="4">
        <v>1</v>
      </c>
      <c r="D22" s="5">
        <v>148</v>
      </c>
      <c r="E22" s="4" t="s">
        <v>4631</v>
      </c>
      <c r="F22" s="3" t="s">
        <v>5532</v>
      </c>
      <c r="G22" s="7" t="s">
        <v>4632</v>
      </c>
      <c r="H22" s="3" t="s">
        <v>7053</v>
      </c>
      <c r="I22" s="3" t="s">
        <v>4633</v>
      </c>
      <c r="J22" s="3" t="s">
        <v>5536</v>
      </c>
      <c r="K22" s="3" t="s">
        <v>4634</v>
      </c>
      <c r="L22" s="8" t="str">
        <f>HYPERLINK("http://slimages.macys.com/is/image/MCY/16471617 ")</f>
        <v xml:space="preserve">http://slimages.macys.com/is/image/MCY/16471617 </v>
      </c>
    </row>
    <row r="23" spans="1:12" ht="48.75" x14ac:dyDescent="0.25">
      <c r="A23" s="6" t="s">
        <v>4635</v>
      </c>
      <c r="B23" s="3" t="s">
        <v>4636</v>
      </c>
      <c r="C23" s="4">
        <v>1</v>
      </c>
      <c r="D23" s="5">
        <v>127</v>
      </c>
      <c r="E23" s="4" t="s">
        <v>4637</v>
      </c>
      <c r="F23" s="3" t="s">
        <v>5532</v>
      </c>
      <c r="G23" s="7" t="s">
        <v>4596</v>
      </c>
      <c r="H23" s="3" t="s">
        <v>7059</v>
      </c>
      <c r="I23" s="3" t="s">
        <v>5934</v>
      </c>
      <c r="J23" s="3" t="s">
        <v>5536</v>
      </c>
      <c r="K23" s="3" t="s">
        <v>4638</v>
      </c>
      <c r="L23" s="8" t="str">
        <f>HYPERLINK("http://slimages.macys.com/is/image/MCY/13364802 ")</f>
        <v xml:space="preserve">http://slimages.macys.com/is/image/MCY/13364802 </v>
      </c>
    </row>
    <row r="24" spans="1:12" ht="36.75" x14ac:dyDescent="0.25">
      <c r="A24" s="6" t="s">
        <v>4639</v>
      </c>
      <c r="B24" s="3" t="s">
        <v>4640</v>
      </c>
      <c r="C24" s="4">
        <v>1</v>
      </c>
      <c r="D24" s="5">
        <v>110</v>
      </c>
      <c r="E24" s="4" t="s">
        <v>4641</v>
      </c>
      <c r="F24" s="3" t="s">
        <v>5532</v>
      </c>
      <c r="G24" s="7" t="s">
        <v>4596</v>
      </c>
      <c r="H24" s="3" t="s">
        <v>7059</v>
      </c>
      <c r="I24" s="3" t="s">
        <v>7060</v>
      </c>
      <c r="J24" s="3" t="s">
        <v>5536</v>
      </c>
      <c r="K24" s="3" t="s">
        <v>7061</v>
      </c>
      <c r="L24" s="8" t="str">
        <f>HYPERLINK("http://slimages.macys.com/is/image/MCY/14441735 ")</f>
        <v xml:space="preserve">http://slimages.macys.com/is/image/MCY/14441735 </v>
      </c>
    </row>
    <row r="25" spans="1:12" ht="36.75" x14ac:dyDescent="0.25">
      <c r="A25" s="6" t="s">
        <v>4642</v>
      </c>
      <c r="B25" s="3" t="s">
        <v>4640</v>
      </c>
      <c r="C25" s="4">
        <v>1</v>
      </c>
      <c r="D25" s="5">
        <v>110</v>
      </c>
      <c r="E25" s="4" t="s">
        <v>4641</v>
      </c>
      <c r="F25" s="3" t="s">
        <v>5532</v>
      </c>
      <c r="G25" s="7" t="s">
        <v>7058</v>
      </c>
      <c r="H25" s="3" t="s">
        <v>7059</v>
      </c>
      <c r="I25" s="3" t="s">
        <v>7060</v>
      </c>
      <c r="J25" s="3" t="s">
        <v>5536</v>
      </c>
      <c r="K25" s="3" t="s">
        <v>7061</v>
      </c>
      <c r="L25" s="8" t="str">
        <f>HYPERLINK("http://slimages.macys.com/is/image/MCY/14441735 ")</f>
        <v xml:space="preserve">http://slimages.macys.com/is/image/MCY/14441735 </v>
      </c>
    </row>
    <row r="26" spans="1:12" ht="36.75" x14ac:dyDescent="0.25">
      <c r="A26" s="6" t="s">
        <v>7055</v>
      </c>
      <c r="B26" s="3" t="s">
        <v>7056</v>
      </c>
      <c r="C26" s="4">
        <v>1</v>
      </c>
      <c r="D26" s="5">
        <v>110</v>
      </c>
      <c r="E26" s="4" t="s">
        <v>7057</v>
      </c>
      <c r="F26" s="3" t="s">
        <v>5803</v>
      </c>
      <c r="G26" s="7" t="s">
        <v>7058</v>
      </c>
      <c r="H26" s="3" t="s">
        <v>7059</v>
      </c>
      <c r="I26" s="3" t="s">
        <v>7060</v>
      </c>
      <c r="J26" s="3" t="s">
        <v>5536</v>
      </c>
      <c r="K26" s="3" t="s">
        <v>7061</v>
      </c>
      <c r="L26" s="8" t="str">
        <f>HYPERLINK("http://slimages.macys.com/is/image/MCY/14441917 ")</f>
        <v xml:space="preserve">http://slimages.macys.com/is/image/MCY/14441917 </v>
      </c>
    </row>
    <row r="27" spans="1:12" ht="36.75" x14ac:dyDescent="0.25">
      <c r="A27" s="6" t="s">
        <v>4643</v>
      </c>
      <c r="B27" s="3" t="s">
        <v>4644</v>
      </c>
      <c r="C27" s="4">
        <v>1</v>
      </c>
      <c r="D27" s="5">
        <v>110</v>
      </c>
      <c r="E27" s="4" t="s">
        <v>4645</v>
      </c>
      <c r="F27" s="3" t="s">
        <v>5793</v>
      </c>
      <c r="G27" s="7" t="s">
        <v>4577</v>
      </c>
      <c r="H27" s="3" t="s">
        <v>7059</v>
      </c>
      <c r="I27" s="3" t="s">
        <v>7060</v>
      </c>
      <c r="J27" s="3" t="s">
        <v>5536</v>
      </c>
      <c r="K27" s="3" t="s">
        <v>7061</v>
      </c>
      <c r="L27" s="8" t="str">
        <f>HYPERLINK("http://slimages.macys.com/is/image/MCY/14461329 ")</f>
        <v xml:space="preserve">http://slimages.macys.com/is/image/MCY/14461329 </v>
      </c>
    </row>
    <row r="28" spans="1:12" ht="36.75" x14ac:dyDescent="0.25">
      <c r="A28" s="6" t="s">
        <v>4646</v>
      </c>
      <c r="B28" s="3" t="s">
        <v>4644</v>
      </c>
      <c r="C28" s="4">
        <v>1</v>
      </c>
      <c r="D28" s="5">
        <v>110</v>
      </c>
      <c r="E28" s="4" t="s">
        <v>4645</v>
      </c>
      <c r="F28" s="3" t="s">
        <v>5793</v>
      </c>
      <c r="G28" s="7" t="s">
        <v>4596</v>
      </c>
      <c r="H28" s="3" t="s">
        <v>7059</v>
      </c>
      <c r="I28" s="3" t="s">
        <v>7060</v>
      </c>
      <c r="J28" s="3" t="s">
        <v>5536</v>
      </c>
      <c r="K28" s="3" t="s">
        <v>7061</v>
      </c>
      <c r="L28" s="8" t="str">
        <f>HYPERLINK("http://slimages.macys.com/is/image/MCY/14461329 ")</f>
        <v xml:space="preserve">http://slimages.macys.com/is/image/MCY/14461329 </v>
      </c>
    </row>
    <row r="29" spans="1:12" ht="36.75" x14ac:dyDescent="0.25">
      <c r="A29" s="6" t="s">
        <v>4647</v>
      </c>
      <c r="B29" s="3" t="s">
        <v>4648</v>
      </c>
      <c r="C29" s="4">
        <v>1</v>
      </c>
      <c r="D29" s="5">
        <v>110</v>
      </c>
      <c r="E29" s="4" t="s">
        <v>4649</v>
      </c>
      <c r="F29" s="3" t="s">
        <v>5532</v>
      </c>
      <c r="G29" s="7" t="s">
        <v>4650</v>
      </c>
      <c r="H29" s="3" t="s">
        <v>7059</v>
      </c>
      <c r="I29" s="3" t="s">
        <v>7060</v>
      </c>
      <c r="J29" s="3" t="s">
        <v>5536</v>
      </c>
      <c r="K29" s="3" t="s">
        <v>7061</v>
      </c>
      <c r="L29" s="8" t="str">
        <f>HYPERLINK("http://slimages.macys.com/is/image/MCY/13830586 ")</f>
        <v xml:space="preserve">http://slimages.macys.com/is/image/MCY/13830586 </v>
      </c>
    </row>
    <row r="30" spans="1:12" ht="36.75" x14ac:dyDescent="0.25">
      <c r="A30" s="6" t="s">
        <v>4651</v>
      </c>
      <c r="B30" s="3" t="s">
        <v>4652</v>
      </c>
      <c r="C30" s="4">
        <v>1</v>
      </c>
      <c r="D30" s="5">
        <v>110</v>
      </c>
      <c r="E30" s="4" t="s">
        <v>4653</v>
      </c>
      <c r="F30" s="3" t="s">
        <v>5532</v>
      </c>
      <c r="G30" s="7" t="s">
        <v>4572</v>
      </c>
      <c r="H30" s="3" t="s">
        <v>7059</v>
      </c>
      <c r="I30" s="3" t="s">
        <v>7060</v>
      </c>
      <c r="J30" s="3" t="s">
        <v>5536</v>
      </c>
      <c r="K30" s="3" t="s">
        <v>4654</v>
      </c>
      <c r="L30" s="8" t="str">
        <f>HYPERLINK("http://slimages.macys.com/is/image/MCY/14536224 ")</f>
        <v xml:space="preserve">http://slimages.macys.com/is/image/MCY/14536224 </v>
      </c>
    </row>
    <row r="31" spans="1:12" ht="36.75" x14ac:dyDescent="0.25">
      <c r="A31" s="6" t="s">
        <v>4655</v>
      </c>
      <c r="B31" s="3" t="s">
        <v>4566</v>
      </c>
      <c r="C31" s="4">
        <v>1</v>
      </c>
      <c r="D31" s="5">
        <v>90</v>
      </c>
      <c r="E31" s="4" t="s">
        <v>4656</v>
      </c>
      <c r="F31" s="3" t="s">
        <v>5803</v>
      </c>
      <c r="G31" s="7" t="s">
        <v>5567</v>
      </c>
      <c r="H31" s="3" t="s">
        <v>7099</v>
      </c>
      <c r="I31" s="3" t="s">
        <v>5934</v>
      </c>
      <c r="J31" s="3" t="s">
        <v>5536</v>
      </c>
      <c r="K31" s="3" t="s">
        <v>7038</v>
      </c>
      <c r="L31" s="8" t="str">
        <f>HYPERLINK("http://slimages.macys.com/is/image/MCY/13947562 ")</f>
        <v xml:space="preserve">http://slimages.macys.com/is/image/MCY/13947562 </v>
      </c>
    </row>
    <row r="32" spans="1:12" ht="24.75" x14ac:dyDescent="0.25">
      <c r="A32" s="6" t="s">
        <v>4657</v>
      </c>
      <c r="B32" s="3" t="s">
        <v>4658</v>
      </c>
      <c r="C32" s="4">
        <v>1</v>
      </c>
      <c r="D32" s="5">
        <v>79.5</v>
      </c>
      <c r="E32" s="4" t="s">
        <v>4659</v>
      </c>
      <c r="F32" s="3" t="s">
        <v>5783</v>
      </c>
      <c r="G32" s="7" t="s">
        <v>5596</v>
      </c>
      <c r="H32" s="3" t="s">
        <v>5715</v>
      </c>
      <c r="I32" s="3" t="s">
        <v>5716</v>
      </c>
      <c r="J32" s="3" t="s">
        <v>5536</v>
      </c>
      <c r="K32" s="3" t="s">
        <v>5727</v>
      </c>
      <c r="L32" s="8" t="str">
        <f>HYPERLINK("http://slimages.macys.com/is/image/MCY/15626350 ")</f>
        <v xml:space="preserve">http://slimages.macys.com/is/image/MCY/15626350 </v>
      </c>
    </row>
    <row r="33" spans="1:12" ht="36.75" x14ac:dyDescent="0.25">
      <c r="A33" s="6" t="s">
        <v>4660</v>
      </c>
      <c r="B33" s="3" t="s">
        <v>4661</v>
      </c>
      <c r="C33" s="4">
        <v>1</v>
      </c>
      <c r="D33" s="5">
        <v>79.8</v>
      </c>
      <c r="E33" s="4" t="s">
        <v>4662</v>
      </c>
      <c r="F33" s="3" t="s">
        <v>5625</v>
      </c>
      <c r="G33" s="7" t="s">
        <v>5658</v>
      </c>
      <c r="H33" s="3" t="s">
        <v>5862</v>
      </c>
      <c r="I33" s="3" t="s">
        <v>5934</v>
      </c>
      <c r="J33" s="3" t="s">
        <v>5536</v>
      </c>
      <c r="K33" s="3" t="s">
        <v>7038</v>
      </c>
      <c r="L33" s="8" t="str">
        <f>HYPERLINK("http://slimages.macys.com/is/image/MCY/14813078 ")</f>
        <v xml:space="preserve">http://slimages.macys.com/is/image/MCY/14813078 </v>
      </c>
    </row>
    <row r="34" spans="1:12" ht="36.75" x14ac:dyDescent="0.25">
      <c r="A34" s="6" t="s">
        <v>4663</v>
      </c>
      <c r="B34" s="3" t="s">
        <v>4661</v>
      </c>
      <c r="C34" s="4">
        <v>1</v>
      </c>
      <c r="D34" s="5">
        <v>79.8</v>
      </c>
      <c r="E34" s="4" t="s">
        <v>4662</v>
      </c>
      <c r="F34" s="3" t="s">
        <v>5625</v>
      </c>
      <c r="G34" s="7" t="s">
        <v>5656</v>
      </c>
      <c r="H34" s="3" t="s">
        <v>5862</v>
      </c>
      <c r="I34" s="3" t="s">
        <v>5934</v>
      </c>
      <c r="J34" s="3" t="s">
        <v>5536</v>
      </c>
      <c r="K34" s="3" t="s">
        <v>7038</v>
      </c>
      <c r="L34" s="8" t="str">
        <f>HYPERLINK("http://slimages.macys.com/is/image/MCY/14813078 ")</f>
        <v xml:space="preserve">http://slimages.macys.com/is/image/MCY/14813078 </v>
      </c>
    </row>
    <row r="35" spans="1:12" ht="24.75" x14ac:dyDescent="0.25">
      <c r="A35" s="6" t="s">
        <v>4664</v>
      </c>
      <c r="B35" s="3" t="s">
        <v>4665</v>
      </c>
      <c r="C35" s="4">
        <v>2</v>
      </c>
      <c r="D35" s="5">
        <v>117</v>
      </c>
      <c r="E35" s="4">
        <v>191110078</v>
      </c>
      <c r="F35" s="3" t="s">
        <v>5552</v>
      </c>
      <c r="G35" s="7" t="s">
        <v>5685</v>
      </c>
      <c r="H35" s="3" t="s">
        <v>5606</v>
      </c>
      <c r="I35" s="3" t="s">
        <v>5607</v>
      </c>
      <c r="J35" s="3" t="s">
        <v>5536</v>
      </c>
      <c r="K35" s="3" t="s">
        <v>5641</v>
      </c>
      <c r="L35" s="8" t="str">
        <f>HYPERLINK("http://slimages.macys.com/is/image/MCY/2927814 ")</f>
        <v xml:space="preserve">http://slimages.macys.com/is/image/MCY/2927814 </v>
      </c>
    </row>
    <row r="36" spans="1:12" ht="24.75" x14ac:dyDescent="0.25">
      <c r="A36" s="6" t="s">
        <v>4666</v>
      </c>
      <c r="B36" s="3" t="s">
        <v>4665</v>
      </c>
      <c r="C36" s="4">
        <v>1</v>
      </c>
      <c r="D36" s="5">
        <v>58.5</v>
      </c>
      <c r="E36" s="4">
        <v>191110078</v>
      </c>
      <c r="F36" s="3" t="s">
        <v>5552</v>
      </c>
      <c r="G36" s="7" t="s">
        <v>5658</v>
      </c>
      <c r="H36" s="3" t="s">
        <v>5606</v>
      </c>
      <c r="I36" s="3" t="s">
        <v>5607</v>
      </c>
      <c r="J36" s="3" t="s">
        <v>5536</v>
      </c>
      <c r="K36" s="3" t="s">
        <v>5641</v>
      </c>
      <c r="L36" s="8" t="str">
        <f>HYPERLINK("http://slimages.macys.com/is/image/MCY/2927814 ")</f>
        <v xml:space="preserve">http://slimages.macys.com/is/image/MCY/2927814 </v>
      </c>
    </row>
    <row r="37" spans="1:12" ht="24.75" x14ac:dyDescent="0.25">
      <c r="A37" s="6" t="s">
        <v>4667</v>
      </c>
      <c r="B37" s="3" t="s">
        <v>4665</v>
      </c>
      <c r="C37" s="4">
        <v>1</v>
      </c>
      <c r="D37" s="5">
        <v>58.5</v>
      </c>
      <c r="E37" s="4">
        <v>191110078</v>
      </c>
      <c r="F37" s="3" t="s">
        <v>5552</v>
      </c>
      <c r="G37" s="7" t="s">
        <v>5682</v>
      </c>
      <c r="H37" s="3" t="s">
        <v>5606</v>
      </c>
      <c r="I37" s="3" t="s">
        <v>5607</v>
      </c>
      <c r="J37" s="3" t="s">
        <v>5536</v>
      </c>
      <c r="K37" s="3" t="s">
        <v>5641</v>
      </c>
      <c r="L37" s="8" t="str">
        <f>HYPERLINK("http://slimages.macys.com/is/image/MCY/2927814 ")</f>
        <v xml:space="preserve">http://slimages.macys.com/is/image/MCY/2927814 </v>
      </c>
    </row>
    <row r="38" spans="1:12" ht="24.75" x14ac:dyDescent="0.25">
      <c r="A38" s="6" t="s">
        <v>4668</v>
      </c>
      <c r="B38" s="3" t="s">
        <v>5639</v>
      </c>
      <c r="C38" s="4">
        <v>1</v>
      </c>
      <c r="D38" s="5">
        <v>53.5</v>
      </c>
      <c r="E38" s="4">
        <v>45114088</v>
      </c>
      <c r="F38" s="3" t="s">
        <v>5640</v>
      </c>
      <c r="G38" s="7" t="s">
        <v>5685</v>
      </c>
      <c r="H38" s="3" t="s">
        <v>5606</v>
      </c>
      <c r="I38" s="3" t="s">
        <v>5607</v>
      </c>
      <c r="J38" s="3" t="s">
        <v>5536</v>
      </c>
      <c r="K38" s="3" t="s">
        <v>5641</v>
      </c>
      <c r="L38" s="8" t="str">
        <f>HYPERLINK("http://slimages.macys.com/is/image/MCY/14606494 ")</f>
        <v xml:space="preserve">http://slimages.macys.com/is/image/MCY/14606494 </v>
      </c>
    </row>
    <row r="39" spans="1:12" ht="24.75" x14ac:dyDescent="0.25">
      <c r="A39" s="6" t="s">
        <v>4669</v>
      </c>
      <c r="B39" s="3" t="s">
        <v>5639</v>
      </c>
      <c r="C39" s="4">
        <v>1</v>
      </c>
      <c r="D39" s="5">
        <v>53.5</v>
      </c>
      <c r="E39" s="4">
        <v>45114088</v>
      </c>
      <c r="F39" s="3" t="s">
        <v>5640</v>
      </c>
      <c r="G39" s="7" t="s">
        <v>5579</v>
      </c>
      <c r="H39" s="3" t="s">
        <v>5606</v>
      </c>
      <c r="I39" s="3" t="s">
        <v>5607</v>
      </c>
      <c r="J39" s="3" t="s">
        <v>5536</v>
      </c>
      <c r="K39" s="3" t="s">
        <v>5641</v>
      </c>
      <c r="L39" s="8" t="str">
        <f>HYPERLINK("http://slimages.macys.com/is/image/MCY/14606494 ")</f>
        <v xml:space="preserve">http://slimages.macys.com/is/image/MCY/14606494 </v>
      </c>
    </row>
    <row r="40" spans="1:12" ht="24.75" x14ac:dyDescent="0.25">
      <c r="A40" s="6" t="s">
        <v>5667</v>
      </c>
      <c r="B40" s="3" t="s">
        <v>5633</v>
      </c>
      <c r="C40" s="4">
        <v>1</v>
      </c>
      <c r="D40" s="5">
        <v>53.5</v>
      </c>
      <c r="E40" s="4">
        <v>131510085</v>
      </c>
      <c r="F40" s="3" t="s">
        <v>5634</v>
      </c>
      <c r="G40" s="7" t="s">
        <v>5650</v>
      </c>
      <c r="H40" s="3" t="s">
        <v>5606</v>
      </c>
      <c r="I40" s="3" t="s">
        <v>5607</v>
      </c>
      <c r="J40" s="3" t="s">
        <v>5536</v>
      </c>
      <c r="K40" s="3" t="s">
        <v>5558</v>
      </c>
      <c r="L40" s="8" t="str">
        <f>HYPERLINK("http://slimages.macys.com/is/image/MCY/2977507 ")</f>
        <v xml:space="preserve">http://slimages.macys.com/is/image/MCY/2977507 </v>
      </c>
    </row>
    <row r="41" spans="1:12" x14ac:dyDescent="0.25">
      <c r="A41" s="6" t="s">
        <v>4670</v>
      </c>
      <c r="B41" s="3" t="s">
        <v>4671</v>
      </c>
      <c r="C41" s="4">
        <v>1</v>
      </c>
      <c r="D41" s="5">
        <v>44.99</v>
      </c>
      <c r="E41" s="4">
        <v>135810010</v>
      </c>
      <c r="F41" s="3" t="s">
        <v>5540</v>
      </c>
      <c r="G41" s="7" t="s">
        <v>5838</v>
      </c>
      <c r="H41" s="3" t="s">
        <v>5606</v>
      </c>
      <c r="I41" s="3" t="s">
        <v>5607</v>
      </c>
      <c r="J41" s="3" t="s">
        <v>5536</v>
      </c>
      <c r="K41" s="3" t="s">
        <v>5574</v>
      </c>
      <c r="L41" s="8" t="str">
        <f>HYPERLINK("http://slimages.macys.com/is/image/MCY/1973529 ")</f>
        <v xml:space="preserve">http://slimages.macys.com/is/image/MCY/1973529 </v>
      </c>
    </row>
    <row r="42" spans="1:12" ht="24.75" x14ac:dyDescent="0.25">
      <c r="A42" s="6" t="s">
        <v>4672</v>
      </c>
      <c r="B42" s="3" t="s">
        <v>4673</v>
      </c>
      <c r="C42" s="4">
        <v>1</v>
      </c>
      <c r="D42" s="5">
        <v>74.989999999999995</v>
      </c>
      <c r="E42" s="4" t="s">
        <v>4674</v>
      </c>
      <c r="F42" s="3" t="s">
        <v>7010</v>
      </c>
      <c r="G42" s="7" t="s">
        <v>4675</v>
      </c>
      <c r="H42" s="3" t="s">
        <v>4533</v>
      </c>
      <c r="I42" s="3" t="s">
        <v>4676</v>
      </c>
      <c r="J42" s="3" t="s">
        <v>5536</v>
      </c>
      <c r="K42" s="3" t="s">
        <v>4677</v>
      </c>
      <c r="L42" s="8" t="str">
        <f>HYPERLINK("http://slimages.macys.com/is/image/MCY/14370579 ")</f>
        <v xml:space="preserve">http://slimages.macys.com/is/image/MCY/14370579 </v>
      </c>
    </row>
    <row r="43" spans="1:12" ht="24.75" x14ac:dyDescent="0.25">
      <c r="A43" s="6" t="s">
        <v>4678</v>
      </c>
      <c r="B43" s="3" t="s">
        <v>4673</v>
      </c>
      <c r="C43" s="4">
        <v>1</v>
      </c>
      <c r="D43" s="5">
        <v>74.989999999999995</v>
      </c>
      <c r="E43" s="4" t="s">
        <v>4674</v>
      </c>
      <c r="F43" s="3" t="s">
        <v>7010</v>
      </c>
      <c r="G43" s="7" t="s">
        <v>6819</v>
      </c>
      <c r="H43" s="3" t="s">
        <v>4533</v>
      </c>
      <c r="I43" s="3" t="s">
        <v>4676</v>
      </c>
      <c r="J43" s="3" t="s">
        <v>5536</v>
      </c>
      <c r="K43" s="3" t="s">
        <v>4677</v>
      </c>
      <c r="L43" s="8" t="str">
        <f>HYPERLINK("http://slimages.macys.com/is/image/MCY/14370579 ")</f>
        <v xml:space="preserve">http://slimages.macys.com/is/image/MCY/14370579 </v>
      </c>
    </row>
    <row r="44" spans="1:12" ht="24.75" x14ac:dyDescent="0.25">
      <c r="A44" s="6" t="s">
        <v>4679</v>
      </c>
      <c r="B44" s="3" t="s">
        <v>4673</v>
      </c>
      <c r="C44" s="4">
        <v>1</v>
      </c>
      <c r="D44" s="5">
        <v>74.989999999999995</v>
      </c>
      <c r="E44" s="4" t="s">
        <v>4674</v>
      </c>
      <c r="F44" s="3" t="s">
        <v>7010</v>
      </c>
      <c r="G44" s="7" t="s">
        <v>4680</v>
      </c>
      <c r="H44" s="3" t="s">
        <v>4533</v>
      </c>
      <c r="I44" s="3" t="s">
        <v>4676</v>
      </c>
      <c r="J44" s="3" t="s">
        <v>5536</v>
      </c>
      <c r="K44" s="3" t="s">
        <v>4677</v>
      </c>
      <c r="L44" s="8" t="str">
        <f>HYPERLINK("http://slimages.macys.com/is/image/MCY/14370579 ")</f>
        <v xml:space="preserve">http://slimages.macys.com/is/image/MCY/14370579 </v>
      </c>
    </row>
    <row r="45" spans="1:12" ht="24.75" x14ac:dyDescent="0.25">
      <c r="A45" s="6" t="s">
        <v>4681</v>
      </c>
      <c r="B45" s="3" t="s">
        <v>4682</v>
      </c>
      <c r="C45" s="4">
        <v>1</v>
      </c>
      <c r="D45" s="5">
        <v>66.989999999999995</v>
      </c>
      <c r="E45" s="4" t="s">
        <v>4683</v>
      </c>
      <c r="F45" s="3" t="s">
        <v>5661</v>
      </c>
      <c r="G45" s="7"/>
      <c r="H45" s="3" t="s">
        <v>5722</v>
      </c>
      <c r="I45" s="3" t="s">
        <v>5756</v>
      </c>
      <c r="J45" s="3" t="s">
        <v>5536</v>
      </c>
      <c r="K45" s="3" t="s">
        <v>5558</v>
      </c>
      <c r="L45" s="8" t="str">
        <f>HYPERLINK("http://slimages.macys.com/is/image/MCY/14572898 ")</f>
        <v xml:space="preserve">http://slimages.macys.com/is/image/MCY/14572898 </v>
      </c>
    </row>
    <row r="46" spans="1:12" ht="24.75" x14ac:dyDescent="0.25">
      <c r="A46" s="6" t="s">
        <v>4684</v>
      </c>
      <c r="B46" s="3" t="s">
        <v>4685</v>
      </c>
      <c r="C46" s="4">
        <v>1</v>
      </c>
      <c r="D46" s="5">
        <v>59.5</v>
      </c>
      <c r="E46" s="4" t="s">
        <v>4686</v>
      </c>
      <c r="F46" s="3" t="s">
        <v>4687</v>
      </c>
      <c r="G46" s="7" t="s">
        <v>5562</v>
      </c>
      <c r="H46" s="3" t="s">
        <v>5715</v>
      </c>
      <c r="I46" s="3" t="s">
        <v>5716</v>
      </c>
      <c r="J46" s="3" t="s">
        <v>5536</v>
      </c>
      <c r="K46" s="3" t="s">
        <v>5594</v>
      </c>
      <c r="L46" s="8" t="str">
        <f>HYPERLINK("http://slimages.macys.com/is/image/MCY/15631096 ")</f>
        <v xml:space="preserve">http://slimages.macys.com/is/image/MCY/15631096 </v>
      </c>
    </row>
    <row r="47" spans="1:12" ht="24.75" x14ac:dyDescent="0.25">
      <c r="A47" s="6" t="s">
        <v>4688</v>
      </c>
      <c r="B47" s="3" t="s">
        <v>4689</v>
      </c>
      <c r="C47" s="4">
        <v>1</v>
      </c>
      <c r="D47" s="5">
        <v>59.5</v>
      </c>
      <c r="E47" s="4" t="s">
        <v>4690</v>
      </c>
      <c r="F47" s="3" t="s">
        <v>5532</v>
      </c>
      <c r="G47" s="7" t="s">
        <v>5596</v>
      </c>
      <c r="H47" s="3" t="s">
        <v>5715</v>
      </c>
      <c r="I47" s="3" t="s">
        <v>5716</v>
      </c>
      <c r="J47" s="3" t="s">
        <v>5536</v>
      </c>
      <c r="K47" s="3" t="s">
        <v>5549</v>
      </c>
      <c r="L47" s="8" t="str">
        <f>HYPERLINK("http://slimages.macys.com/is/image/MCY/15870948 ")</f>
        <v xml:space="preserve">http://slimages.macys.com/is/image/MCY/15870948 </v>
      </c>
    </row>
    <row r="48" spans="1:12" ht="24.75" x14ac:dyDescent="0.25">
      <c r="A48" s="6" t="s">
        <v>4691</v>
      </c>
      <c r="B48" s="3" t="s">
        <v>4692</v>
      </c>
      <c r="C48" s="4">
        <v>1</v>
      </c>
      <c r="D48" s="5">
        <v>64.989999999999995</v>
      </c>
      <c r="E48" s="4" t="s">
        <v>5753</v>
      </c>
      <c r="F48" s="3" t="s">
        <v>5610</v>
      </c>
      <c r="G48" s="7"/>
      <c r="H48" s="3" t="s">
        <v>5722</v>
      </c>
      <c r="I48" s="3" t="s">
        <v>5756</v>
      </c>
      <c r="J48" s="3" t="s">
        <v>5536</v>
      </c>
      <c r="K48" s="3" t="s">
        <v>5549</v>
      </c>
      <c r="L48" s="8" t="str">
        <f>HYPERLINK("http://slimages.macys.com/is/image/MCY/8823845 ")</f>
        <v xml:space="preserve">http://slimages.macys.com/is/image/MCY/8823845 </v>
      </c>
    </row>
    <row r="49" spans="1:12" ht="24.75" x14ac:dyDescent="0.25">
      <c r="A49" s="6" t="s">
        <v>4693</v>
      </c>
      <c r="B49" s="3" t="s">
        <v>5771</v>
      </c>
      <c r="C49" s="4">
        <v>1</v>
      </c>
      <c r="D49" s="5">
        <v>64.989999999999995</v>
      </c>
      <c r="E49" s="4" t="s">
        <v>5772</v>
      </c>
      <c r="F49" s="3" t="s">
        <v>5532</v>
      </c>
      <c r="G49" s="7" t="s">
        <v>6025</v>
      </c>
      <c r="H49" s="3" t="s">
        <v>5722</v>
      </c>
      <c r="I49" s="3" t="s">
        <v>5773</v>
      </c>
      <c r="J49" s="3" t="s">
        <v>5536</v>
      </c>
      <c r="K49" s="3" t="s">
        <v>5774</v>
      </c>
      <c r="L49" s="8" t="str">
        <f>HYPERLINK("http://slimages.macys.com/is/image/MCY/14660852 ")</f>
        <v xml:space="preserve">http://slimages.macys.com/is/image/MCY/14660852 </v>
      </c>
    </row>
    <row r="50" spans="1:12" ht="24.75" x14ac:dyDescent="0.25">
      <c r="A50" s="6" t="s">
        <v>5770</v>
      </c>
      <c r="B50" s="3" t="s">
        <v>5771</v>
      </c>
      <c r="C50" s="4">
        <v>1</v>
      </c>
      <c r="D50" s="5">
        <v>64.989999999999995</v>
      </c>
      <c r="E50" s="4" t="s">
        <v>5772</v>
      </c>
      <c r="F50" s="3" t="s">
        <v>5532</v>
      </c>
      <c r="G50" s="7" t="s">
        <v>5764</v>
      </c>
      <c r="H50" s="3" t="s">
        <v>5722</v>
      </c>
      <c r="I50" s="3" t="s">
        <v>5773</v>
      </c>
      <c r="J50" s="3" t="s">
        <v>5536</v>
      </c>
      <c r="K50" s="3" t="s">
        <v>5774</v>
      </c>
      <c r="L50" s="8" t="str">
        <f>HYPERLINK("http://slimages.macys.com/is/image/MCY/14660852 ")</f>
        <v xml:space="preserve">http://slimages.macys.com/is/image/MCY/14660852 </v>
      </c>
    </row>
    <row r="51" spans="1:12" ht="24.75" x14ac:dyDescent="0.25">
      <c r="A51" s="6" t="s">
        <v>4694</v>
      </c>
      <c r="B51" s="3" t="s">
        <v>5771</v>
      </c>
      <c r="C51" s="4">
        <v>2</v>
      </c>
      <c r="D51" s="5">
        <v>129.97999999999999</v>
      </c>
      <c r="E51" s="4" t="s">
        <v>5772</v>
      </c>
      <c r="F51" s="3" t="s">
        <v>5532</v>
      </c>
      <c r="G51" s="7" t="s">
        <v>5816</v>
      </c>
      <c r="H51" s="3" t="s">
        <v>5722</v>
      </c>
      <c r="I51" s="3" t="s">
        <v>5773</v>
      </c>
      <c r="J51" s="3" t="s">
        <v>5536</v>
      </c>
      <c r="K51" s="3" t="s">
        <v>5774</v>
      </c>
      <c r="L51" s="8" t="str">
        <f>HYPERLINK("http://slimages.macys.com/is/image/MCY/14660852 ")</f>
        <v xml:space="preserve">http://slimages.macys.com/is/image/MCY/14660852 </v>
      </c>
    </row>
    <row r="52" spans="1:12" ht="24.75" x14ac:dyDescent="0.25">
      <c r="A52" s="6" t="s">
        <v>4695</v>
      </c>
      <c r="B52" s="3" t="s">
        <v>5771</v>
      </c>
      <c r="C52" s="4">
        <v>3</v>
      </c>
      <c r="D52" s="5">
        <v>194.97</v>
      </c>
      <c r="E52" s="4" t="s">
        <v>5772</v>
      </c>
      <c r="F52" s="3" t="s">
        <v>5532</v>
      </c>
      <c r="G52" s="7" t="s">
        <v>5755</v>
      </c>
      <c r="H52" s="3" t="s">
        <v>5722</v>
      </c>
      <c r="I52" s="3" t="s">
        <v>5773</v>
      </c>
      <c r="J52" s="3" t="s">
        <v>5536</v>
      </c>
      <c r="K52" s="3" t="s">
        <v>5774</v>
      </c>
      <c r="L52" s="8" t="str">
        <f>HYPERLINK("http://slimages.macys.com/is/image/MCY/14660852 ")</f>
        <v xml:space="preserve">http://slimages.macys.com/is/image/MCY/14660852 </v>
      </c>
    </row>
    <row r="53" spans="1:12" ht="24.75" x14ac:dyDescent="0.25">
      <c r="A53" s="6" t="s">
        <v>5775</v>
      </c>
      <c r="B53" s="3" t="s">
        <v>5771</v>
      </c>
      <c r="C53" s="4">
        <v>1</v>
      </c>
      <c r="D53" s="5">
        <v>64.989999999999995</v>
      </c>
      <c r="E53" s="4" t="s">
        <v>5772</v>
      </c>
      <c r="F53" s="3" t="s">
        <v>5532</v>
      </c>
      <c r="G53" s="7" t="s">
        <v>5766</v>
      </c>
      <c r="H53" s="3" t="s">
        <v>5722</v>
      </c>
      <c r="I53" s="3" t="s">
        <v>5773</v>
      </c>
      <c r="J53" s="3" t="s">
        <v>5536</v>
      </c>
      <c r="K53" s="3" t="s">
        <v>5774</v>
      </c>
      <c r="L53" s="8" t="str">
        <f>HYPERLINK("http://slimages.macys.com/is/image/MCY/14660852 ")</f>
        <v xml:space="preserve">http://slimages.macys.com/is/image/MCY/14660852 </v>
      </c>
    </row>
    <row r="54" spans="1:12" ht="24.75" x14ac:dyDescent="0.25">
      <c r="A54" s="6" t="s">
        <v>4696</v>
      </c>
      <c r="B54" s="3" t="s">
        <v>4692</v>
      </c>
      <c r="C54" s="4">
        <v>1</v>
      </c>
      <c r="D54" s="5">
        <v>64.989999999999995</v>
      </c>
      <c r="E54" s="4" t="s">
        <v>5753</v>
      </c>
      <c r="F54" s="3" t="s">
        <v>5610</v>
      </c>
      <c r="G54" s="7" t="s">
        <v>5816</v>
      </c>
      <c r="H54" s="3" t="s">
        <v>5722</v>
      </c>
      <c r="I54" s="3" t="s">
        <v>5756</v>
      </c>
      <c r="J54" s="3" t="s">
        <v>5536</v>
      </c>
      <c r="K54" s="3" t="s">
        <v>5549</v>
      </c>
      <c r="L54" s="8" t="str">
        <f>HYPERLINK("http://slimages.macys.com/is/image/MCY/8823845 ")</f>
        <v xml:space="preserve">http://slimages.macys.com/is/image/MCY/8823845 </v>
      </c>
    </row>
    <row r="55" spans="1:12" ht="24.75" x14ac:dyDescent="0.25">
      <c r="A55" s="6" t="s">
        <v>4697</v>
      </c>
      <c r="B55" s="3" t="s">
        <v>5781</v>
      </c>
      <c r="C55" s="4">
        <v>1</v>
      </c>
      <c r="D55" s="5">
        <v>64.989999999999995</v>
      </c>
      <c r="E55" s="4" t="s">
        <v>4698</v>
      </c>
      <c r="F55" s="3" t="s">
        <v>5532</v>
      </c>
      <c r="G55" s="7"/>
      <c r="H55" s="3" t="s">
        <v>5722</v>
      </c>
      <c r="I55" s="3" t="s">
        <v>5773</v>
      </c>
      <c r="J55" s="3" t="s">
        <v>5536</v>
      </c>
      <c r="K55" s="3" t="s">
        <v>5784</v>
      </c>
      <c r="L55" s="8" t="str">
        <f>HYPERLINK("http://slimages.macys.com/is/image/MCY/14441827 ")</f>
        <v xml:space="preserve">http://slimages.macys.com/is/image/MCY/14441827 </v>
      </c>
    </row>
    <row r="56" spans="1:12" ht="24.75" x14ac:dyDescent="0.25">
      <c r="A56" s="6" t="s">
        <v>4699</v>
      </c>
      <c r="B56" s="3" t="s">
        <v>4700</v>
      </c>
      <c r="C56" s="4">
        <v>1</v>
      </c>
      <c r="D56" s="5">
        <v>64.989999999999995</v>
      </c>
      <c r="E56" s="4" t="s">
        <v>4701</v>
      </c>
      <c r="F56" s="3" t="s">
        <v>5532</v>
      </c>
      <c r="G56" s="7"/>
      <c r="H56" s="3" t="s">
        <v>5722</v>
      </c>
      <c r="I56" s="3" t="s">
        <v>5773</v>
      </c>
      <c r="J56" s="3" t="s">
        <v>5536</v>
      </c>
      <c r="K56" s="3" t="s">
        <v>5784</v>
      </c>
      <c r="L56" s="8" t="str">
        <f>HYPERLINK("http://slimages.macys.com/is/image/MCY/14441815 ")</f>
        <v xml:space="preserve">http://slimages.macys.com/is/image/MCY/14441815 </v>
      </c>
    </row>
    <row r="57" spans="1:12" ht="24.75" x14ac:dyDescent="0.25">
      <c r="A57" s="6" t="s">
        <v>4702</v>
      </c>
      <c r="B57" s="3" t="s">
        <v>4692</v>
      </c>
      <c r="C57" s="4">
        <v>1</v>
      </c>
      <c r="D57" s="5">
        <v>64.989999999999995</v>
      </c>
      <c r="E57" s="4" t="s">
        <v>5753</v>
      </c>
      <c r="F57" s="3" t="s">
        <v>5610</v>
      </c>
      <c r="G57" s="7" t="s">
        <v>5824</v>
      </c>
      <c r="H57" s="3" t="s">
        <v>5722</v>
      </c>
      <c r="I57" s="3" t="s">
        <v>5756</v>
      </c>
      <c r="J57" s="3" t="s">
        <v>5536</v>
      </c>
      <c r="K57" s="3" t="s">
        <v>5549</v>
      </c>
      <c r="L57" s="8" t="str">
        <f>HYPERLINK("http://slimages.macys.com/is/image/MCY/8823845 ")</f>
        <v xml:space="preserve">http://slimages.macys.com/is/image/MCY/8823845 </v>
      </c>
    </row>
    <row r="58" spans="1:12" ht="24.75" x14ac:dyDescent="0.25">
      <c r="A58" s="6" t="s">
        <v>4703</v>
      </c>
      <c r="B58" s="3" t="s">
        <v>4692</v>
      </c>
      <c r="C58" s="4">
        <v>2</v>
      </c>
      <c r="D58" s="5">
        <v>129.97999999999999</v>
      </c>
      <c r="E58" s="4" t="s">
        <v>5753</v>
      </c>
      <c r="F58" s="3" t="s">
        <v>5610</v>
      </c>
      <c r="G58" s="7" t="s">
        <v>5764</v>
      </c>
      <c r="H58" s="3" t="s">
        <v>5722</v>
      </c>
      <c r="I58" s="3" t="s">
        <v>5756</v>
      </c>
      <c r="J58" s="3" t="s">
        <v>5536</v>
      </c>
      <c r="K58" s="3" t="s">
        <v>5549</v>
      </c>
      <c r="L58" s="8" t="str">
        <f>HYPERLINK("http://slimages.macys.com/is/image/MCY/8823845 ")</f>
        <v xml:space="preserve">http://slimages.macys.com/is/image/MCY/8823845 </v>
      </c>
    </row>
    <row r="59" spans="1:12" ht="24.75" x14ac:dyDescent="0.25">
      <c r="A59" s="6" t="s">
        <v>4704</v>
      </c>
      <c r="B59" s="3" t="s">
        <v>4692</v>
      </c>
      <c r="C59" s="4">
        <v>1</v>
      </c>
      <c r="D59" s="5">
        <v>64.989999999999995</v>
      </c>
      <c r="E59" s="4" t="s">
        <v>5753</v>
      </c>
      <c r="F59" s="3" t="s">
        <v>5610</v>
      </c>
      <c r="G59" s="7" t="s">
        <v>5755</v>
      </c>
      <c r="H59" s="3" t="s">
        <v>5722</v>
      </c>
      <c r="I59" s="3" t="s">
        <v>5756</v>
      </c>
      <c r="J59" s="3" t="s">
        <v>5536</v>
      </c>
      <c r="K59" s="3" t="s">
        <v>5549</v>
      </c>
      <c r="L59" s="8" t="str">
        <f>HYPERLINK("http://slimages.macys.com/is/image/MCY/8823845 ")</f>
        <v xml:space="preserve">http://slimages.macys.com/is/image/MCY/8823845 </v>
      </c>
    </row>
    <row r="60" spans="1:12" ht="24.75" x14ac:dyDescent="0.25">
      <c r="A60" s="6" t="s">
        <v>4705</v>
      </c>
      <c r="B60" s="3" t="s">
        <v>5771</v>
      </c>
      <c r="C60" s="4">
        <v>1</v>
      </c>
      <c r="D60" s="5">
        <v>64.989999999999995</v>
      </c>
      <c r="E60" s="4" t="s">
        <v>5772</v>
      </c>
      <c r="F60" s="3" t="s">
        <v>5532</v>
      </c>
      <c r="G60" s="7"/>
      <c r="H60" s="3" t="s">
        <v>5722</v>
      </c>
      <c r="I60" s="3" t="s">
        <v>5773</v>
      </c>
      <c r="J60" s="3" t="s">
        <v>5536</v>
      </c>
      <c r="K60" s="3" t="s">
        <v>5774</v>
      </c>
      <c r="L60" s="8" t="str">
        <f>HYPERLINK("http://slimages.macys.com/is/image/MCY/14660852 ")</f>
        <v xml:space="preserve">http://slimages.macys.com/is/image/MCY/14660852 </v>
      </c>
    </row>
    <row r="61" spans="1:12" ht="24.75" x14ac:dyDescent="0.25">
      <c r="A61" s="6" t="s">
        <v>4706</v>
      </c>
      <c r="B61" s="3" t="s">
        <v>4707</v>
      </c>
      <c r="C61" s="4">
        <v>1</v>
      </c>
      <c r="D61" s="5">
        <v>59.5</v>
      </c>
      <c r="E61" s="4" t="s">
        <v>4708</v>
      </c>
      <c r="F61" s="3" t="s">
        <v>5783</v>
      </c>
      <c r="G61" s="7" t="s">
        <v>5562</v>
      </c>
      <c r="H61" s="3" t="s">
        <v>5794</v>
      </c>
      <c r="I61" s="3" t="s">
        <v>5795</v>
      </c>
      <c r="J61" s="3" t="s">
        <v>5536</v>
      </c>
      <c r="K61" s="3" t="s">
        <v>5594</v>
      </c>
      <c r="L61" s="8" t="str">
        <f>HYPERLINK("http://slimages.macys.com/is/image/MCY/14527837 ")</f>
        <v xml:space="preserve">http://slimages.macys.com/is/image/MCY/14527837 </v>
      </c>
    </row>
    <row r="62" spans="1:12" ht="24.75" x14ac:dyDescent="0.25">
      <c r="A62" s="6" t="s">
        <v>4709</v>
      </c>
      <c r="B62" s="3" t="s">
        <v>4710</v>
      </c>
      <c r="C62" s="4">
        <v>1</v>
      </c>
      <c r="D62" s="5">
        <v>59</v>
      </c>
      <c r="E62" s="4" t="s">
        <v>4711</v>
      </c>
      <c r="F62" s="3" t="s">
        <v>5532</v>
      </c>
      <c r="G62" s="7" t="s">
        <v>5598</v>
      </c>
      <c r="H62" s="3" t="s">
        <v>6794</v>
      </c>
      <c r="I62" s="3" t="s">
        <v>4712</v>
      </c>
      <c r="J62" s="3" t="s">
        <v>5536</v>
      </c>
      <c r="K62" s="3" t="s">
        <v>5574</v>
      </c>
      <c r="L62" s="8" t="str">
        <f>HYPERLINK("http://slimages.macys.com/is/image/MCY/14719083 ")</f>
        <v xml:space="preserve">http://slimages.macys.com/is/image/MCY/14719083 </v>
      </c>
    </row>
    <row r="63" spans="1:12" ht="24.75" x14ac:dyDescent="0.25">
      <c r="A63" s="6" t="s">
        <v>4713</v>
      </c>
      <c r="B63" s="3" t="s">
        <v>4714</v>
      </c>
      <c r="C63" s="4">
        <v>1</v>
      </c>
      <c r="D63" s="5">
        <v>59</v>
      </c>
      <c r="E63" s="4" t="s">
        <v>4715</v>
      </c>
      <c r="F63" s="3" t="s">
        <v>5540</v>
      </c>
      <c r="G63" s="7" t="s">
        <v>5562</v>
      </c>
      <c r="H63" s="3" t="s">
        <v>6794</v>
      </c>
      <c r="I63" s="3" t="s">
        <v>4712</v>
      </c>
      <c r="J63" s="3" t="s">
        <v>5536</v>
      </c>
      <c r="K63" s="3" t="s">
        <v>5574</v>
      </c>
      <c r="L63" s="8" t="str">
        <f>HYPERLINK("http://slimages.macys.com/is/image/MCY/14365711 ")</f>
        <v xml:space="preserve">http://slimages.macys.com/is/image/MCY/14365711 </v>
      </c>
    </row>
    <row r="64" spans="1:12" ht="24.75" x14ac:dyDescent="0.25">
      <c r="A64" s="6" t="s">
        <v>5804</v>
      </c>
      <c r="B64" s="3" t="s">
        <v>5797</v>
      </c>
      <c r="C64" s="4">
        <v>2</v>
      </c>
      <c r="D64" s="5">
        <v>99.98</v>
      </c>
      <c r="E64" s="4">
        <v>1272355</v>
      </c>
      <c r="F64" s="3" t="s">
        <v>5540</v>
      </c>
      <c r="G64" s="7" t="s">
        <v>5799</v>
      </c>
      <c r="H64" s="3" t="s">
        <v>5726</v>
      </c>
      <c r="I64" s="3" t="s">
        <v>5726</v>
      </c>
      <c r="J64" s="3" t="s">
        <v>5536</v>
      </c>
      <c r="K64" s="3" t="s">
        <v>5800</v>
      </c>
      <c r="L64" s="8" t="str">
        <f>HYPERLINK("http://slimages.macys.com/is/image/MCY/12462462 ")</f>
        <v xml:space="preserve">http://slimages.macys.com/is/image/MCY/12462462 </v>
      </c>
    </row>
    <row r="65" spans="1:12" ht="24.75" x14ac:dyDescent="0.25">
      <c r="A65" s="6" t="s">
        <v>4716</v>
      </c>
      <c r="B65" s="3" t="s">
        <v>5797</v>
      </c>
      <c r="C65" s="4">
        <v>1</v>
      </c>
      <c r="D65" s="5">
        <v>49.99</v>
      </c>
      <c r="E65" s="4">
        <v>1272355</v>
      </c>
      <c r="F65" s="3" t="s">
        <v>5798</v>
      </c>
      <c r="G65" s="7" t="s">
        <v>6626</v>
      </c>
      <c r="H65" s="3" t="s">
        <v>5726</v>
      </c>
      <c r="I65" s="3" t="s">
        <v>5726</v>
      </c>
      <c r="J65" s="3" t="s">
        <v>5536</v>
      </c>
      <c r="K65" s="3" t="s">
        <v>5800</v>
      </c>
      <c r="L65" s="8" t="str">
        <f>HYPERLINK("http://slimages.macys.com/is/image/MCY/12462462 ")</f>
        <v xml:space="preserve">http://slimages.macys.com/is/image/MCY/12462462 </v>
      </c>
    </row>
    <row r="66" spans="1:12" ht="24.75" x14ac:dyDescent="0.25">
      <c r="A66" s="6" t="s">
        <v>4717</v>
      </c>
      <c r="B66" s="3" t="s">
        <v>5797</v>
      </c>
      <c r="C66" s="4">
        <v>1</v>
      </c>
      <c r="D66" s="5">
        <v>49.99</v>
      </c>
      <c r="E66" s="4">
        <v>1272355</v>
      </c>
      <c r="F66" s="3" t="s">
        <v>5540</v>
      </c>
      <c r="G66" s="7" t="s">
        <v>6491</v>
      </c>
      <c r="H66" s="3" t="s">
        <v>5726</v>
      </c>
      <c r="I66" s="3" t="s">
        <v>5726</v>
      </c>
      <c r="J66" s="3" t="s">
        <v>5536</v>
      </c>
      <c r="K66" s="3" t="s">
        <v>5800</v>
      </c>
      <c r="L66" s="8" t="str">
        <f>HYPERLINK("http://slimages.macys.com/is/image/MCY/12462462 ")</f>
        <v xml:space="preserve">http://slimages.macys.com/is/image/MCY/12462462 </v>
      </c>
    </row>
    <row r="67" spans="1:12" ht="24.75" x14ac:dyDescent="0.25">
      <c r="A67" s="6" t="s">
        <v>4718</v>
      </c>
      <c r="B67" s="3" t="s">
        <v>5797</v>
      </c>
      <c r="C67" s="4">
        <v>1</v>
      </c>
      <c r="D67" s="5">
        <v>49.99</v>
      </c>
      <c r="E67" s="4">
        <v>1272355</v>
      </c>
      <c r="F67" s="3" t="s">
        <v>5798</v>
      </c>
      <c r="G67" s="7" t="s">
        <v>4491</v>
      </c>
      <c r="H67" s="3" t="s">
        <v>5726</v>
      </c>
      <c r="I67" s="3" t="s">
        <v>5726</v>
      </c>
      <c r="J67" s="3" t="s">
        <v>5536</v>
      </c>
      <c r="K67" s="3" t="s">
        <v>5800</v>
      </c>
      <c r="L67" s="8" t="str">
        <f>HYPERLINK("http://slimages.macys.com/is/image/MCY/12462462 ")</f>
        <v xml:space="preserve">http://slimages.macys.com/is/image/MCY/12462462 </v>
      </c>
    </row>
    <row r="68" spans="1:12" ht="24.75" x14ac:dyDescent="0.25">
      <c r="A68" s="6" t="s">
        <v>4719</v>
      </c>
      <c r="B68" s="3" t="s">
        <v>4720</v>
      </c>
      <c r="C68" s="4">
        <v>1</v>
      </c>
      <c r="D68" s="5">
        <v>64.989999999999995</v>
      </c>
      <c r="E68" s="4">
        <v>700705060003</v>
      </c>
      <c r="F68" s="3" t="s">
        <v>6335</v>
      </c>
      <c r="G68" s="7" t="s">
        <v>5779</v>
      </c>
      <c r="H68" s="3" t="s">
        <v>5722</v>
      </c>
      <c r="I68" s="3" t="s">
        <v>7198</v>
      </c>
      <c r="J68" s="3" t="s">
        <v>5536</v>
      </c>
      <c r="K68" s="3" t="s">
        <v>5558</v>
      </c>
      <c r="L68" s="8" t="str">
        <f>HYPERLINK("http://slimages.macys.com/is/image/MCY/9274776 ")</f>
        <v xml:space="preserve">http://slimages.macys.com/is/image/MCY/9274776 </v>
      </c>
    </row>
    <row r="69" spans="1:12" ht="24.75" x14ac:dyDescent="0.25">
      <c r="A69" s="6" t="s">
        <v>4721</v>
      </c>
      <c r="B69" s="3" t="s">
        <v>4722</v>
      </c>
      <c r="C69" s="4">
        <v>1</v>
      </c>
      <c r="D69" s="5">
        <v>54.5</v>
      </c>
      <c r="E69" s="4" t="s">
        <v>4723</v>
      </c>
      <c r="F69" s="3" t="s">
        <v>4724</v>
      </c>
      <c r="G69" s="7" t="s">
        <v>5999</v>
      </c>
      <c r="H69" s="3" t="s">
        <v>7211</v>
      </c>
      <c r="I69" s="3" t="s">
        <v>7212</v>
      </c>
      <c r="J69" s="3" t="s">
        <v>5536</v>
      </c>
      <c r="K69" s="3" t="s">
        <v>5558</v>
      </c>
      <c r="L69" s="8" t="str">
        <f>HYPERLINK("http://slimages.macys.com/is/image/MCY/14333588 ")</f>
        <v xml:space="preserve">http://slimages.macys.com/is/image/MCY/14333588 </v>
      </c>
    </row>
    <row r="70" spans="1:12" ht="24.75" x14ac:dyDescent="0.25">
      <c r="A70" s="6" t="s">
        <v>4725</v>
      </c>
      <c r="B70" s="3" t="s">
        <v>5813</v>
      </c>
      <c r="C70" s="4">
        <v>1</v>
      </c>
      <c r="D70" s="5">
        <v>57.99</v>
      </c>
      <c r="E70" s="4" t="s">
        <v>5814</v>
      </c>
      <c r="F70" s="3" t="s">
        <v>5815</v>
      </c>
      <c r="G70" s="7" t="s">
        <v>5764</v>
      </c>
      <c r="H70" s="3" t="s">
        <v>5722</v>
      </c>
      <c r="I70" s="3" t="s">
        <v>5773</v>
      </c>
      <c r="J70" s="3" t="s">
        <v>5536</v>
      </c>
      <c r="K70" s="3" t="s">
        <v>5558</v>
      </c>
      <c r="L70" s="8" t="str">
        <f>HYPERLINK("http://slimages.macys.com/is/image/MCY/8837853 ")</f>
        <v xml:space="preserve">http://slimages.macys.com/is/image/MCY/8837853 </v>
      </c>
    </row>
    <row r="71" spans="1:12" ht="24.75" x14ac:dyDescent="0.25">
      <c r="A71" s="6" t="s">
        <v>4726</v>
      </c>
      <c r="B71" s="3" t="s">
        <v>5771</v>
      </c>
      <c r="C71" s="4">
        <v>1</v>
      </c>
      <c r="D71" s="5">
        <v>57.99</v>
      </c>
      <c r="E71" s="4" t="s">
        <v>3828</v>
      </c>
      <c r="F71" s="3" t="s">
        <v>6983</v>
      </c>
      <c r="G71" s="7" t="s">
        <v>5830</v>
      </c>
      <c r="H71" s="3" t="s">
        <v>5722</v>
      </c>
      <c r="I71" s="3" t="s">
        <v>5773</v>
      </c>
      <c r="J71" s="3" t="s">
        <v>5536</v>
      </c>
      <c r="K71" s="3" t="s">
        <v>5558</v>
      </c>
      <c r="L71" s="8" t="str">
        <f>HYPERLINK("http://slimages.macys.com/is/image/MCY/8878168 ")</f>
        <v xml:space="preserve">http://slimages.macys.com/is/image/MCY/8878168 </v>
      </c>
    </row>
    <row r="72" spans="1:12" ht="24.75" x14ac:dyDescent="0.25">
      <c r="A72" s="6" t="s">
        <v>4727</v>
      </c>
      <c r="B72" s="3" t="s">
        <v>5813</v>
      </c>
      <c r="C72" s="4">
        <v>1</v>
      </c>
      <c r="D72" s="5">
        <v>57.99</v>
      </c>
      <c r="E72" s="4" t="s">
        <v>5814</v>
      </c>
      <c r="F72" s="3" t="s">
        <v>5815</v>
      </c>
      <c r="G72" s="7"/>
      <c r="H72" s="3" t="s">
        <v>5722</v>
      </c>
      <c r="I72" s="3" t="s">
        <v>5773</v>
      </c>
      <c r="J72" s="3" t="s">
        <v>5536</v>
      </c>
      <c r="K72" s="3" t="s">
        <v>5558</v>
      </c>
      <c r="L72" s="8" t="str">
        <f>HYPERLINK("http://slimages.macys.com/is/image/MCY/8837853 ")</f>
        <v xml:space="preserve">http://slimages.macys.com/is/image/MCY/8837853 </v>
      </c>
    </row>
    <row r="73" spans="1:12" ht="24.75" x14ac:dyDescent="0.25">
      <c r="A73" s="6" t="s">
        <v>4728</v>
      </c>
      <c r="B73" s="3" t="s">
        <v>5771</v>
      </c>
      <c r="C73" s="4">
        <v>1</v>
      </c>
      <c r="D73" s="5">
        <v>57.99</v>
      </c>
      <c r="E73" s="4" t="s">
        <v>3828</v>
      </c>
      <c r="F73" s="3" t="s">
        <v>6983</v>
      </c>
      <c r="G73" s="7" t="s">
        <v>5755</v>
      </c>
      <c r="H73" s="3" t="s">
        <v>5722</v>
      </c>
      <c r="I73" s="3" t="s">
        <v>5773</v>
      </c>
      <c r="J73" s="3" t="s">
        <v>5536</v>
      </c>
      <c r="K73" s="3" t="s">
        <v>5558</v>
      </c>
      <c r="L73" s="8" t="str">
        <f>HYPERLINK("http://slimages.macys.com/is/image/MCY/8878168 ")</f>
        <v xml:space="preserve">http://slimages.macys.com/is/image/MCY/8878168 </v>
      </c>
    </row>
    <row r="74" spans="1:12" ht="24.75" x14ac:dyDescent="0.25">
      <c r="A74" s="6" t="s">
        <v>4729</v>
      </c>
      <c r="B74" s="3" t="s">
        <v>5813</v>
      </c>
      <c r="C74" s="4">
        <v>1</v>
      </c>
      <c r="D74" s="5">
        <v>57.99</v>
      </c>
      <c r="E74" s="4" t="s">
        <v>5814</v>
      </c>
      <c r="F74" s="3" t="s">
        <v>5815</v>
      </c>
      <c r="G74" s="7" t="s">
        <v>6025</v>
      </c>
      <c r="H74" s="3" t="s">
        <v>5722</v>
      </c>
      <c r="I74" s="3" t="s">
        <v>5773</v>
      </c>
      <c r="J74" s="3" t="s">
        <v>5536</v>
      </c>
      <c r="K74" s="3" t="s">
        <v>5558</v>
      </c>
      <c r="L74" s="8" t="str">
        <f>HYPERLINK("http://slimages.macys.com/is/image/MCY/8837853 ")</f>
        <v xml:space="preserve">http://slimages.macys.com/is/image/MCY/8837853 </v>
      </c>
    </row>
    <row r="75" spans="1:12" ht="24.75" x14ac:dyDescent="0.25">
      <c r="A75" s="6" t="s">
        <v>3826</v>
      </c>
      <c r="B75" s="3" t="s">
        <v>5813</v>
      </c>
      <c r="C75" s="4">
        <v>2</v>
      </c>
      <c r="D75" s="5">
        <v>115.98</v>
      </c>
      <c r="E75" s="4" t="s">
        <v>5814</v>
      </c>
      <c r="F75" s="3" t="s">
        <v>5815</v>
      </c>
      <c r="G75" s="7" t="s">
        <v>5768</v>
      </c>
      <c r="H75" s="3" t="s">
        <v>5722</v>
      </c>
      <c r="I75" s="3" t="s">
        <v>5773</v>
      </c>
      <c r="J75" s="3" t="s">
        <v>5536</v>
      </c>
      <c r="K75" s="3" t="s">
        <v>5558</v>
      </c>
      <c r="L75" s="8" t="str">
        <f>HYPERLINK("http://slimages.macys.com/is/image/MCY/8837853 ")</f>
        <v xml:space="preserve">http://slimages.macys.com/is/image/MCY/8837853 </v>
      </c>
    </row>
    <row r="76" spans="1:12" ht="24.75" x14ac:dyDescent="0.25">
      <c r="A76" s="6" t="s">
        <v>4730</v>
      </c>
      <c r="B76" s="3" t="s">
        <v>5813</v>
      </c>
      <c r="C76" s="4">
        <v>1</v>
      </c>
      <c r="D76" s="5">
        <v>57.99</v>
      </c>
      <c r="E76" s="4" t="s">
        <v>5814</v>
      </c>
      <c r="F76" s="3" t="s">
        <v>5815</v>
      </c>
      <c r="G76" s="7" t="s">
        <v>5755</v>
      </c>
      <c r="H76" s="3" t="s">
        <v>5722</v>
      </c>
      <c r="I76" s="3" t="s">
        <v>5773</v>
      </c>
      <c r="J76" s="3" t="s">
        <v>5536</v>
      </c>
      <c r="K76" s="3" t="s">
        <v>5558</v>
      </c>
      <c r="L76" s="8" t="str">
        <f>HYPERLINK("http://slimages.macys.com/is/image/MCY/8837853 ")</f>
        <v xml:space="preserve">http://slimages.macys.com/is/image/MCY/8837853 </v>
      </c>
    </row>
    <row r="77" spans="1:12" ht="24.75" x14ac:dyDescent="0.25">
      <c r="A77" s="6" t="s">
        <v>4731</v>
      </c>
      <c r="B77" s="3" t="s">
        <v>3830</v>
      </c>
      <c r="C77" s="4">
        <v>1</v>
      </c>
      <c r="D77" s="5">
        <v>69.5</v>
      </c>
      <c r="E77" s="4" t="s">
        <v>3831</v>
      </c>
      <c r="F77" s="3" t="s">
        <v>5540</v>
      </c>
      <c r="G77" s="7" t="s">
        <v>5560</v>
      </c>
      <c r="H77" s="3" t="s">
        <v>5617</v>
      </c>
      <c r="I77" s="3" t="s">
        <v>5618</v>
      </c>
      <c r="J77" s="3" t="s">
        <v>5536</v>
      </c>
      <c r="K77" s="3" t="s">
        <v>5594</v>
      </c>
      <c r="L77" s="8" t="str">
        <f>HYPERLINK("http://slimages.macys.com/is/image/MCY/14795797 ")</f>
        <v xml:space="preserve">http://slimages.macys.com/is/image/MCY/14795797 </v>
      </c>
    </row>
    <row r="78" spans="1:12" ht="24.75" x14ac:dyDescent="0.25">
      <c r="A78" s="6" t="s">
        <v>4732</v>
      </c>
      <c r="B78" s="3" t="s">
        <v>4733</v>
      </c>
      <c r="C78" s="4">
        <v>1</v>
      </c>
      <c r="D78" s="5">
        <v>56.99</v>
      </c>
      <c r="E78" s="4" t="s">
        <v>4734</v>
      </c>
      <c r="F78" s="3" t="s">
        <v>4216</v>
      </c>
      <c r="G78" s="7" t="s">
        <v>6025</v>
      </c>
      <c r="H78" s="3" t="s">
        <v>5722</v>
      </c>
      <c r="I78" s="3" t="s">
        <v>4735</v>
      </c>
      <c r="J78" s="3" t="s">
        <v>5536</v>
      </c>
      <c r="K78" s="3" t="s">
        <v>5549</v>
      </c>
      <c r="L78" s="8" t="str">
        <f>HYPERLINK("http://slimages.macys.com/is/image/MCY/10592826 ")</f>
        <v xml:space="preserve">http://slimages.macys.com/is/image/MCY/10592826 </v>
      </c>
    </row>
    <row r="79" spans="1:12" ht="24.75" x14ac:dyDescent="0.25">
      <c r="A79" s="6" t="s">
        <v>4736</v>
      </c>
      <c r="B79" s="3" t="s">
        <v>4737</v>
      </c>
      <c r="C79" s="4">
        <v>1</v>
      </c>
      <c r="D79" s="5">
        <v>56.99</v>
      </c>
      <c r="E79" s="4" t="s">
        <v>4738</v>
      </c>
      <c r="F79" s="3" t="s">
        <v>6983</v>
      </c>
      <c r="G79" s="7" t="s">
        <v>6476</v>
      </c>
      <c r="H79" s="3" t="s">
        <v>5722</v>
      </c>
      <c r="I79" s="3" t="s">
        <v>4735</v>
      </c>
      <c r="J79" s="3" t="s">
        <v>5536</v>
      </c>
      <c r="K79" s="3" t="s">
        <v>5587</v>
      </c>
      <c r="L79" s="8" t="str">
        <f>HYPERLINK("http://slimages.macys.com/is/image/MCY/9586948 ")</f>
        <v xml:space="preserve">http://slimages.macys.com/is/image/MCY/9586948 </v>
      </c>
    </row>
    <row r="80" spans="1:12" ht="24.75" x14ac:dyDescent="0.25">
      <c r="A80" s="6" t="s">
        <v>4739</v>
      </c>
      <c r="B80" s="3" t="s">
        <v>4740</v>
      </c>
      <c r="C80" s="4">
        <v>1</v>
      </c>
      <c r="D80" s="5">
        <v>69.989999999999995</v>
      </c>
      <c r="E80" s="4" t="s">
        <v>4741</v>
      </c>
      <c r="F80" s="3" t="s">
        <v>5625</v>
      </c>
      <c r="G80" s="7" t="s">
        <v>5830</v>
      </c>
      <c r="H80" s="3" t="s">
        <v>5722</v>
      </c>
      <c r="I80" s="3" t="s">
        <v>5756</v>
      </c>
      <c r="J80" s="3" t="s">
        <v>5536</v>
      </c>
      <c r="K80" s="3" t="s">
        <v>5641</v>
      </c>
      <c r="L80" s="8" t="str">
        <f>HYPERLINK("http://slimages.macys.com/is/image/MCY/14573227 ")</f>
        <v xml:space="preserve">http://slimages.macys.com/is/image/MCY/14573227 </v>
      </c>
    </row>
    <row r="81" spans="1:12" ht="24.75" x14ac:dyDescent="0.25">
      <c r="A81" s="6" t="s">
        <v>4742</v>
      </c>
      <c r="B81" s="3" t="s">
        <v>4740</v>
      </c>
      <c r="C81" s="4">
        <v>1</v>
      </c>
      <c r="D81" s="5">
        <v>69.989999999999995</v>
      </c>
      <c r="E81" s="4" t="s">
        <v>4741</v>
      </c>
      <c r="F81" s="3" t="s">
        <v>5625</v>
      </c>
      <c r="G81" s="7" t="s">
        <v>5755</v>
      </c>
      <c r="H81" s="3" t="s">
        <v>5722</v>
      </c>
      <c r="I81" s="3" t="s">
        <v>5756</v>
      </c>
      <c r="J81" s="3" t="s">
        <v>5536</v>
      </c>
      <c r="K81" s="3" t="s">
        <v>5641</v>
      </c>
      <c r="L81" s="8" t="str">
        <f>HYPERLINK("http://slimages.macys.com/is/image/MCY/14573227 ")</f>
        <v xml:space="preserve">http://slimages.macys.com/is/image/MCY/14573227 </v>
      </c>
    </row>
    <row r="82" spans="1:12" ht="24.75" x14ac:dyDescent="0.25">
      <c r="A82" s="6" t="s">
        <v>4743</v>
      </c>
      <c r="B82" s="3" t="s">
        <v>4744</v>
      </c>
      <c r="C82" s="4">
        <v>1</v>
      </c>
      <c r="D82" s="5">
        <v>49.99</v>
      </c>
      <c r="E82" s="4" t="s">
        <v>4745</v>
      </c>
      <c r="F82" s="3" t="s">
        <v>5754</v>
      </c>
      <c r="G82" s="7" t="s">
        <v>3886</v>
      </c>
      <c r="H82" s="3" t="s">
        <v>7211</v>
      </c>
      <c r="I82" s="3" t="s">
        <v>7212</v>
      </c>
      <c r="J82" s="3" t="s">
        <v>5536</v>
      </c>
      <c r="K82" s="3" t="s">
        <v>5574</v>
      </c>
      <c r="L82" s="8" t="str">
        <f>HYPERLINK("http://slimages.macys.com/is/image/MCY/16464243 ")</f>
        <v xml:space="preserve">http://slimages.macys.com/is/image/MCY/16464243 </v>
      </c>
    </row>
    <row r="83" spans="1:12" ht="24.75" x14ac:dyDescent="0.25">
      <c r="A83" s="6" t="s">
        <v>4746</v>
      </c>
      <c r="B83" s="3" t="s">
        <v>4740</v>
      </c>
      <c r="C83" s="4">
        <v>1</v>
      </c>
      <c r="D83" s="5">
        <v>69.989999999999995</v>
      </c>
      <c r="E83" s="4" t="s">
        <v>4741</v>
      </c>
      <c r="F83" s="3" t="s">
        <v>5625</v>
      </c>
      <c r="G83" s="7" t="s">
        <v>6025</v>
      </c>
      <c r="H83" s="3" t="s">
        <v>5722</v>
      </c>
      <c r="I83" s="3" t="s">
        <v>5756</v>
      </c>
      <c r="J83" s="3" t="s">
        <v>5536</v>
      </c>
      <c r="K83" s="3" t="s">
        <v>5641</v>
      </c>
      <c r="L83" s="8" t="str">
        <f>HYPERLINK("http://slimages.macys.com/is/image/MCY/14573227 ")</f>
        <v xml:space="preserve">http://slimages.macys.com/is/image/MCY/14573227 </v>
      </c>
    </row>
    <row r="84" spans="1:12" ht="24.75" x14ac:dyDescent="0.25">
      <c r="A84" s="6" t="s">
        <v>5831</v>
      </c>
      <c r="B84" s="3" t="s">
        <v>5822</v>
      </c>
      <c r="C84" s="4">
        <v>1</v>
      </c>
      <c r="D84" s="5">
        <v>23</v>
      </c>
      <c r="E84" s="4" t="s">
        <v>5823</v>
      </c>
      <c r="F84" s="3" t="s">
        <v>5532</v>
      </c>
      <c r="G84" s="7" t="s">
        <v>5768</v>
      </c>
      <c r="H84" s="3" t="s">
        <v>5825</v>
      </c>
      <c r="I84" s="3" t="s">
        <v>5826</v>
      </c>
      <c r="J84" s="3" t="s">
        <v>5536</v>
      </c>
      <c r="K84" s="3" t="s">
        <v>5549</v>
      </c>
      <c r="L84" s="8" t="str">
        <f t="shared" ref="L84:L90" si="1">HYPERLINK("http://slimages.macys.com/is/image/MCY/16268498 ")</f>
        <v xml:space="preserve">http://slimages.macys.com/is/image/MCY/16268498 </v>
      </c>
    </row>
    <row r="85" spans="1:12" ht="24.75" x14ac:dyDescent="0.25">
      <c r="A85" s="6" t="s">
        <v>5828</v>
      </c>
      <c r="B85" s="3" t="s">
        <v>5822</v>
      </c>
      <c r="C85" s="4">
        <v>1</v>
      </c>
      <c r="D85" s="5">
        <v>23</v>
      </c>
      <c r="E85" s="4" t="s">
        <v>5823</v>
      </c>
      <c r="F85" s="3" t="s">
        <v>5532</v>
      </c>
      <c r="G85" s="7" t="s">
        <v>5766</v>
      </c>
      <c r="H85" s="3" t="s">
        <v>5825</v>
      </c>
      <c r="I85" s="3" t="s">
        <v>5826</v>
      </c>
      <c r="J85" s="3" t="s">
        <v>5536</v>
      </c>
      <c r="K85" s="3" t="s">
        <v>5549</v>
      </c>
      <c r="L85" s="8" t="str">
        <f t="shared" si="1"/>
        <v xml:space="preserve">http://slimages.macys.com/is/image/MCY/16268498 </v>
      </c>
    </row>
    <row r="86" spans="1:12" ht="24.75" x14ac:dyDescent="0.25">
      <c r="A86" s="6" t="s">
        <v>5834</v>
      </c>
      <c r="B86" s="3" t="s">
        <v>5822</v>
      </c>
      <c r="C86" s="4">
        <v>1</v>
      </c>
      <c r="D86" s="5">
        <v>23</v>
      </c>
      <c r="E86" s="4" t="s">
        <v>5823</v>
      </c>
      <c r="F86" s="3" t="s">
        <v>5532</v>
      </c>
      <c r="G86" s="7" t="s">
        <v>5835</v>
      </c>
      <c r="H86" s="3" t="s">
        <v>5825</v>
      </c>
      <c r="I86" s="3" t="s">
        <v>5826</v>
      </c>
      <c r="J86" s="3" t="s">
        <v>5536</v>
      </c>
      <c r="K86" s="3" t="s">
        <v>5549</v>
      </c>
      <c r="L86" s="8" t="str">
        <f t="shared" si="1"/>
        <v xml:space="preserve">http://slimages.macys.com/is/image/MCY/16268498 </v>
      </c>
    </row>
    <row r="87" spans="1:12" ht="24.75" x14ac:dyDescent="0.25">
      <c r="A87" s="6" t="s">
        <v>4747</v>
      </c>
      <c r="B87" s="3" t="s">
        <v>5822</v>
      </c>
      <c r="C87" s="4">
        <v>1</v>
      </c>
      <c r="D87" s="5">
        <v>23</v>
      </c>
      <c r="E87" s="4" t="s">
        <v>5823</v>
      </c>
      <c r="F87" s="3" t="s">
        <v>5532</v>
      </c>
      <c r="G87" s="7"/>
      <c r="H87" s="3" t="s">
        <v>5825</v>
      </c>
      <c r="I87" s="3" t="s">
        <v>5826</v>
      </c>
      <c r="J87" s="3" t="s">
        <v>5536</v>
      </c>
      <c r="K87" s="3" t="s">
        <v>5549</v>
      </c>
      <c r="L87" s="8" t="str">
        <f t="shared" si="1"/>
        <v xml:space="preserve">http://slimages.macys.com/is/image/MCY/16268498 </v>
      </c>
    </row>
    <row r="88" spans="1:12" ht="24.75" x14ac:dyDescent="0.25">
      <c r="A88" s="6" t="s">
        <v>3835</v>
      </c>
      <c r="B88" s="3" t="s">
        <v>5822</v>
      </c>
      <c r="C88" s="4">
        <v>1</v>
      </c>
      <c r="D88" s="5">
        <v>23</v>
      </c>
      <c r="E88" s="4" t="s">
        <v>5823</v>
      </c>
      <c r="F88" s="3" t="s">
        <v>5532</v>
      </c>
      <c r="G88" s="7"/>
      <c r="H88" s="3" t="s">
        <v>5825</v>
      </c>
      <c r="I88" s="3" t="s">
        <v>5826</v>
      </c>
      <c r="J88" s="3" t="s">
        <v>5536</v>
      </c>
      <c r="K88" s="3" t="s">
        <v>5549</v>
      </c>
      <c r="L88" s="8" t="str">
        <f t="shared" si="1"/>
        <v xml:space="preserve">http://slimages.macys.com/is/image/MCY/16268498 </v>
      </c>
    </row>
    <row r="89" spans="1:12" ht="24.75" x14ac:dyDescent="0.25">
      <c r="A89" s="6" t="s">
        <v>4748</v>
      </c>
      <c r="B89" s="3" t="s">
        <v>5822</v>
      </c>
      <c r="C89" s="4">
        <v>1</v>
      </c>
      <c r="D89" s="5">
        <v>23</v>
      </c>
      <c r="E89" s="4" t="s">
        <v>5823</v>
      </c>
      <c r="F89" s="3" t="s">
        <v>5532</v>
      </c>
      <c r="G89" s="7" t="s">
        <v>6476</v>
      </c>
      <c r="H89" s="3" t="s">
        <v>5825</v>
      </c>
      <c r="I89" s="3" t="s">
        <v>5826</v>
      </c>
      <c r="J89" s="3" t="s">
        <v>5536</v>
      </c>
      <c r="K89" s="3" t="s">
        <v>5549</v>
      </c>
      <c r="L89" s="8" t="str">
        <f t="shared" si="1"/>
        <v xml:space="preserve">http://slimages.macys.com/is/image/MCY/16268498 </v>
      </c>
    </row>
    <row r="90" spans="1:12" ht="24.75" x14ac:dyDescent="0.25">
      <c r="A90" s="6" t="s">
        <v>5832</v>
      </c>
      <c r="B90" s="3" t="s">
        <v>5822</v>
      </c>
      <c r="C90" s="4">
        <v>1</v>
      </c>
      <c r="D90" s="5">
        <v>23</v>
      </c>
      <c r="E90" s="4" t="s">
        <v>5823</v>
      </c>
      <c r="F90" s="3" t="s">
        <v>5532</v>
      </c>
      <c r="G90" s="7" t="s">
        <v>5777</v>
      </c>
      <c r="H90" s="3" t="s">
        <v>5825</v>
      </c>
      <c r="I90" s="3" t="s">
        <v>5826</v>
      </c>
      <c r="J90" s="3" t="s">
        <v>5536</v>
      </c>
      <c r="K90" s="3" t="s">
        <v>5549</v>
      </c>
      <c r="L90" s="8" t="str">
        <f t="shared" si="1"/>
        <v xml:space="preserve">http://slimages.macys.com/is/image/MCY/16268498 </v>
      </c>
    </row>
    <row r="91" spans="1:12" ht="24.75" x14ac:dyDescent="0.25">
      <c r="A91" s="6" t="s">
        <v>4749</v>
      </c>
      <c r="B91" s="3" t="s">
        <v>4750</v>
      </c>
      <c r="C91" s="4">
        <v>1</v>
      </c>
      <c r="D91" s="5">
        <v>39.99</v>
      </c>
      <c r="E91" s="4">
        <v>1442361</v>
      </c>
      <c r="F91" s="3" t="s">
        <v>5793</v>
      </c>
      <c r="G91" s="7" t="s">
        <v>5562</v>
      </c>
      <c r="H91" s="3" t="s">
        <v>5929</v>
      </c>
      <c r="I91" s="3" t="s">
        <v>5930</v>
      </c>
      <c r="J91" s="3"/>
      <c r="K91" s="3"/>
      <c r="L91" s="8" t="str">
        <f>HYPERLINK("http://slimages.macys.com/is/image/MCY/14706887 ")</f>
        <v xml:space="preserve">http://slimages.macys.com/is/image/MCY/14706887 </v>
      </c>
    </row>
    <row r="92" spans="1:12" ht="24.75" x14ac:dyDescent="0.25">
      <c r="A92" s="6" t="s">
        <v>4751</v>
      </c>
      <c r="B92" s="3" t="s">
        <v>4752</v>
      </c>
      <c r="C92" s="4">
        <v>1</v>
      </c>
      <c r="D92" s="5">
        <v>60.08</v>
      </c>
      <c r="E92" s="4" t="s">
        <v>4753</v>
      </c>
      <c r="F92" s="3" t="s">
        <v>5540</v>
      </c>
      <c r="G92" s="7" t="s">
        <v>5562</v>
      </c>
      <c r="H92" s="3" t="s">
        <v>5842</v>
      </c>
      <c r="I92" s="3" t="s">
        <v>6082</v>
      </c>
      <c r="J92" s="3" t="s">
        <v>5536</v>
      </c>
      <c r="K92" s="3" t="s">
        <v>4754</v>
      </c>
      <c r="L92" s="8" t="str">
        <f>HYPERLINK("http://slimages.macys.com/is/image/MCY/14619245 ")</f>
        <v xml:space="preserve">http://slimages.macys.com/is/image/MCY/14619245 </v>
      </c>
    </row>
    <row r="93" spans="1:12" ht="24.75" x14ac:dyDescent="0.25">
      <c r="A93" s="6" t="s">
        <v>4755</v>
      </c>
      <c r="B93" s="3" t="s">
        <v>4752</v>
      </c>
      <c r="C93" s="4">
        <v>1</v>
      </c>
      <c r="D93" s="5">
        <v>60.08</v>
      </c>
      <c r="E93" s="4" t="s">
        <v>4753</v>
      </c>
      <c r="F93" s="3" t="s">
        <v>5540</v>
      </c>
      <c r="G93" s="7" t="s">
        <v>5596</v>
      </c>
      <c r="H93" s="3" t="s">
        <v>5842</v>
      </c>
      <c r="I93" s="3" t="s">
        <v>6082</v>
      </c>
      <c r="J93" s="3" t="s">
        <v>5536</v>
      </c>
      <c r="K93" s="3" t="s">
        <v>4754</v>
      </c>
      <c r="L93" s="8" t="str">
        <f>HYPERLINK("http://slimages.macys.com/is/image/MCY/14619245 ")</f>
        <v xml:space="preserve">http://slimages.macys.com/is/image/MCY/14619245 </v>
      </c>
    </row>
    <row r="94" spans="1:12" ht="24.75" x14ac:dyDescent="0.25">
      <c r="A94" s="6" t="s">
        <v>4756</v>
      </c>
      <c r="B94" s="3" t="s">
        <v>4757</v>
      </c>
      <c r="C94" s="4">
        <v>1</v>
      </c>
      <c r="D94" s="5">
        <v>53.99</v>
      </c>
      <c r="E94" s="4">
        <v>1123442</v>
      </c>
      <c r="F94" s="3" t="s">
        <v>5793</v>
      </c>
      <c r="G94" s="7" t="s">
        <v>5830</v>
      </c>
      <c r="H94" s="3" t="s">
        <v>5722</v>
      </c>
      <c r="I94" s="3" t="s">
        <v>4758</v>
      </c>
      <c r="J94" s="3" t="s">
        <v>5536</v>
      </c>
      <c r="K94" s="3" t="s">
        <v>5594</v>
      </c>
      <c r="L94" s="8" t="str">
        <f t="shared" ref="L94:L105" si="2">HYPERLINK("http://slimages.macys.com/is/image/MCY/15848709 ")</f>
        <v xml:space="preserve">http://slimages.macys.com/is/image/MCY/15848709 </v>
      </c>
    </row>
    <row r="95" spans="1:12" ht="24.75" x14ac:dyDescent="0.25">
      <c r="A95" s="6" t="s">
        <v>4759</v>
      </c>
      <c r="B95" s="3" t="s">
        <v>4757</v>
      </c>
      <c r="C95" s="4">
        <v>3</v>
      </c>
      <c r="D95" s="5">
        <v>161.97</v>
      </c>
      <c r="E95" s="4">
        <v>1123442</v>
      </c>
      <c r="F95" s="3" t="s">
        <v>5793</v>
      </c>
      <c r="G95" s="7" t="s">
        <v>5777</v>
      </c>
      <c r="H95" s="3" t="s">
        <v>5722</v>
      </c>
      <c r="I95" s="3" t="s">
        <v>4758</v>
      </c>
      <c r="J95" s="3" t="s">
        <v>5536</v>
      </c>
      <c r="K95" s="3" t="s">
        <v>5594</v>
      </c>
      <c r="L95" s="8" t="str">
        <f t="shared" si="2"/>
        <v xml:space="preserve">http://slimages.macys.com/is/image/MCY/15848709 </v>
      </c>
    </row>
    <row r="96" spans="1:12" ht="24.75" x14ac:dyDescent="0.25">
      <c r="A96" s="6" t="s">
        <v>4760</v>
      </c>
      <c r="B96" s="3" t="s">
        <v>4757</v>
      </c>
      <c r="C96" s="4">
        <v>1</v>
      </c>
      <c r="D96" s="5">
        <v>53.99</v>
      </c>
      <c r="E96" s="4">
        <v>1123442</v>
      </c>
      <c r="F96" s="3" t="s">
        <v>5793</v>
      </c>
      <c r="G96" s="7"/>
      <c r="H96" s="3" t="s">
        <v>5722</v>
      </c>
      <c r="I96" s="3" t="s">
        <v>4758</v>
      </c>
      <c r="J96" s="3" t="s">
        <v>5536</v>
      </c>
      <c r="K96" s="3" t="s">
        <v>5594</v>
      </c>
      <c r="L96" s="8" t="str">
        <f t="shared" si="2"/>
        <v xml:space="preserve">http://slimages.macys.com/is/image/MCY/15848709 </v>
      </c>
    </row>
    <row r="97" spans="1:12" ht="24.75" x14ac:dyDescent="0.25">
      <c r="A97" s="6" t="s">
        <v>4761</v>
      </c>
      <c r="B97" s="3" t="s">
        <v>4757</v>
      </c>
      <c r="C97" s="4">
        <v>1</v>
      </c>
      <c r="D97" s="5">
        <v>53.99</v>
      </c>
      <c r="E97" s="4">
        <v>1123442</v>
      </c>
      <c r="F97" s="3" t="s">
        <v>5793</v>
      </c>
      <c r="G97" s="7"/>
      <c r="H97" s="3" t="s">
        <v>5722</v>
      </c>
      <c r="I97" s="3" t="s">
        <v>4758</v>
      </c>
      <c r="J97" s="3" t="s">
        <v>5536</v>
      </c>
      <c r="K97" s="3" t="s">
        <v>5594</v>
      </c>
      <c r="L97" s="8" t="str">
        <f t="shared" si="2"/>
        <v xml:space="preserve">http://slimages.macys.com/is/image/MCY/15848709 </v>
      </c>
    </row>
    <row r="98" spans="1:12" ht="24.75" x14ac:dyDescent="0.25">
      <c r="A98" s="6" t="s">
        <v>4762</v>
      </c>
      <c r="B98" s="3" t="s">
        <v>4757</v>
      </c>
      <c r="C98" s="4">
        <v>1</v>
      </c>
      <c r="D98" s="5">
        <v>53.99</v>
      </c>
      <c r="E98" s="4">
        <v>1123442</v>
      </c>
      <c r="F98" s="3" t="s">
        <v>5793</v>
      </c>
      <c r="G98" s="7" t="s">
        <v>5768</v>
      </c>
      <c r="H98" s="3" t="s">
        <v>5722</v>
      </c>
      <c r="I98" s="3" t="s">
        <v>4758</v>
      </c>
      <c r="J98" s="3" t="s">
        <v>5536</v>
      </c>
      <c r="K98" s="3" t="s">
        <v>5594</v>
      </c>
      <c r="L98" s="8" t="str">
        <f t="shared" si="2"/>
        <v xml:space="preserve">http://slimages.macys.com/is/image/MCY/15848709 </v>
      </c>
    </row>
    <row r="99" spans="1:12" ht="24.75" x14ac:dyDescent="0.25">
      <c r="A99" s="6" t="s">
        <v>4763</v>
      </c>
      <c r="B99" s="3" t="s">
        <v>4757</v>
      </c>
      <c r="C99" s="4">
        <v>1</v>
      </c>
      <c r="D99" s="5">
        <v>53.99</v>
      </c>
      <c r="E99" s="4">
        <v>1123442</v>
      </c>
      <c r="F99" s="3" t="s">
        <v>5793</v>
      </c>
      <c r="G99" s="7" t="s">
        <v>5764</v>
      </c>
      <c r="H99" s="3" t="s">
        <v>5722</v>
      </c>
      <c r="I99" s="3" t="s">
        <v>4758</v>
      </c>
      <c r="J99" s="3" t="s">
        <v>5536</v>
      </c>
      <c r="K99" s="3" t="s">
        <v>5594</v>
      </c>
      <c r="L99" s="8" t="str">
        <f t="shared" si="2"/>
        <v xml:space="preserve">http://slimages.macys.com/is/image/MCY/15848709 </v>
      </c>
    </row>
    <row r="100" spans="1:12" ht="24.75" x14ac:dyDescent="0.25">
      <c r="A100" s="6" t="s">
        <v>4764</v>
      </c>
      <c r="B100" s="3" t="s">
        <v>4757</v>
      </c>
      <c r="C100" s="4">
        <v>1</v>
      </c>
      <c r="D100" s="5">
        <v>53.99</v>
      </c>
      <c r="E100" s="4">
        <v>1123442</v>
      </c>
      <c r="F100" s="3" t="s">
        <v>5793</v>
      </c>
      <c r="G100" s="7" t="s">
        <v>6476</v>
      </c>
      <c r="H100" s="3" t="s">
        <v>5722</v>
      </c>
      <c r="I100" s="3" t="s">
        <v>4758</v>
      </c>
      <c r="J100" s="3" t="s">
        <v>5536</v>
      </c>
      <c r="K100" s="3" t="s">
        <v>5594</v>
      </c>
      <c r="L100" s="8" t="str">
        <f t="shared" si="2"/>
        <v xml:space="preserve">http://slimages.macys.com/is/image/MCY/15848709 </v>
      </c>
    </row>
    <row r="101" spans="1:12" ht="24.75" x14ac:dyDescent="0.25">
      <c r="A101" s="6" t="s">
        <v>4765</v>
      </c>
      <c r="B101" s="3" t="s">
        <v>4757</v>
      </c>
      <c r="C101" s="4">
        <v>1</v>
      </c>
      <c r="D101" s="5">
        <v>53.99</v>
      </c>
      <c r="E101" s="4">
        <v>1123442</v>
      </c>
      <c r="F101" s="3" t="s">
        <v>5793</v>
      </c>
      <c r="G101" s="7" t="s">
        <v>5835</v>
      </c>
      <c r="H101" s="3" t="s">
        <v>5722</v>
      </c>
      <c r="I101" s="3" t="s">
        <v>4758</v>
      </c>
      <c r="J101" s="3" t="s">
        <v>5536</v>
      </c>
      <c r="K101" s="3" t="s">
        <v>5594</v>
      </c>
      <c r="L101" s="8" t="str">
        <f t="shared" si="2"/>
        <v xml:space="preserve">http://slimages.macys.com/is/image/MCY/15848709 </v>
      </c>
    </row>
    <row r="102" spans="1:12" ht="24.75" x14ac:dyDescent="0.25">
      <c r="A102" s="6" t="s">
        <v>4766</v>
      </c>
      <c r="B102" s="3" t="s">
        <v>4757</v>
      </c>
      <c r="C102" s="4">
        <v>1</v>
      </c>
      <c r="D102" s="5">
        <v>53.99</v>
      </c>
      <c r="E102" s="4">
        <v>1123442</v>
      </c>
      <c r="F102" s="3" t="s">
        <v>5793</v>
      </c>
      <c r="G102" s="7" t="s">
        <v>5779</v>
      </c>
      <c r="H102" s="3" t="s">
        <v>5722</v>
      </c>
      <c r="I102" s="3" t="s">
        <v>4758</v>
      </c>
      <c r="J102" s="3" t="s">
        <v>5536</v>
      </c>
      <c r="K102" s="3" t="s">
        <v>5594</v>
      </c>
      <c r="L102" s="8" t="str">
        <f t="shared" si="2"/>
        <v xml:space="preserve">http://slimages.macys.com/is/image/MCY/15848709 </v>
      </c>
    </row>
    <row r="103" spans="1:12" ht="24.75" x14ac:dyDescent="0.25">
      <c r="A103" s="6" t="s">
        <v>4767</v>
      </c>
      <c r="B103" s="3" t="s">
        <v>4757</v>
      </c>
      <c r="C103" s="4">
        <v>1</v>
      </c>
      <c r="D103" s="5">
        <v>53.99</v>
      </c>
      <c r="E103" s="4">
        <v>1123442</v>
      </c>
      <c r="F103" s="3" t="s">
        <v>5793</v>
      </c>
      <c r="G103" s="7" t="s">
        <v>5766</v>
      </c>
      <c r="H103" s="3" t="s">
        <v>5722</v>
      </c>
      <c r="I103" s="3" t="s">
        <v>4758</v>
      </c>
      <c r="J103" s="3" t="s">
        <v>5536</v>
      </c>
      <c r="K103" s="3" t="s">
        <v>5594</v>
      </c>
      <c r="L103" s="8" t="str">
        <f t="shared" si="2"/>
        <v xml:space="preserve">http://slimages.macys.com/is/image/MCY/15848709 </v>
      </c>
    </row>
    <row r="104" spans="1:12" ht="24.75" x14ac:dyDescent="0.25">
      <c r="A104" s="6" t="s">
        <v>4768</v>
      </c>
      <c r="B104" s="3" t="s">
        <v>4757</v>
      </c>
      <c r="C104" s="4">
        <v>1</v>
      </c>
      <c r="D104" s="5">
        <v>53.99</v>
      </c>
      <c r="E104" s="4">
        <v>1123442</v>
      </c>
      <c r="F104" s="3" t="s">
        <v>5793</v>
      </c>
      <c r="G104" s="7" t="s">
        <v>5760</v>
      </c>
      <c r="H104" s="3" t="s">
        <v>5722</v>
      </c>
      <c r="I104" s="3" t="s">
        <v>4758</v>
      </c>
      <c r="J104" s="3" t="s">
        <v>5536</v>
      </c>
      <c r="K104" s="3" t="s">
        <v>5594</v>
      </c>
      <c r="L104" s="8" t="str">
        <f t="shared" si="2"/>
        <v xml:space="preserve">http://slimages.macys.com/is/image/MCY/15848709 </v>
      </c>
    </row>
    <row r="105" spans="1:12" ht="24.75" x14ac:dyDescent="0.25">
      <c r="A105" s="6" t="s">
        <v>4769</v>
      </c>
      <c r="B105" s="3" t="s">
        <v>4757</v>
      </c>
      <c r="C105" s="4">
        <v>1</v>
      </c>
      <c r="D105" s="5">
        <v>53.99</v>
      </c>
      <c r="E105" s="4">
        <v>1123442</v>
      </c>
      <c r="F105" s="3" t="s">
        <v>5793</v>
      </c>
      <c r="G105" s="7" t="s">
        <v>6025</v>
      </c>
      <c r="H105" s="3" t="s">
        <v>5722</v>
      </c>
      <c r="I105" s="3" t="s">
        <v>4758</v>
      </c>
      <c r="J105" s="3" t="s">
        <v>5536</v>
      </c>
      <c r="K105" s="3" t="s">
        <v>5594</v>
      </c>
      <c r="L105" s="8" t="str">
        <f t="shared" si="2"/>
        <v xml:space="preserve">http://slimages.macys.com/is/image/MCY/15848709 </v>
      </c>
    </row>
    <row r="106" spans="1:12" ht="24.75" x14ac:dyDescent="0.25">
      <c r="A106" s="6" t="s">
        <v>5839</v>
      </c>
      <c r="B106" s="3" t="s">
        <v>5840</v>
      </c>
      <c r="C106" s="4">
        <v>1</v>
      </c>
      <c r="D106" s="5">
        <v>59.38</v>
      </c>
      <c r="E106" s="4" t="s">
        <v>5841</v>
      </c>
      <c r="F106" s="3" t="s">
        <v>5540</v>
      </c>
      <c r="G106" s="7" t="s">
        <v>5596</v>
      </c>
      <c r="H106" s="3" t="s">
        <v>5842</v>
      </c>
      <c r="I106" s="3" t="s">
        <v>5843</v>
      </c>
      <c r="J106" s="3" t="s">
        <v>5536</v>
      </c>
      <c r="K106" s="3" t="s">
        <v>5844</v>
      </c>
      <c r="L106" s="8" t="str">
        <f>HYPERLINK("http://slimages.macys.com/is/image/MCY/14506290 ")</f>
        <v xml:space="preserve">http://slimages.macys.com/is/image/MCY/14506290 </v>
      </c>
    </row>
    <row r="107" spans="1:12" ht="24.75" x14ac:dyDescent="0.25">
      <c r="A107" s="6" t="s">
        <v>5846</v>
      </c>
      <c r="B107" s="3" t="s">
        <v>5840</v>
      </c>
      <c r="C107" s="4">
        <v>1</v>
      </c>
      <c r="D107" s="5">
        <v>59.38</v>
      </c>
      <c r="E107" s="4" t="s">
        <v>5841</v>
      </c>
      <c r="F107" s="3" t="s">
        <v>5540</v>
      </c>
      <c r="G107" s="7" t="s">
        <v>5533</v>
      </c>
      <c r="H107" s="3" t="s">
        <v>5842</v>
      </c>
      <c r="I107" s="3" t="s">
        <v>5843</v>
      </c>
      <c r="J107" s="3" t="s">
        <v>5536</v>
      </c>
      <c r="K107" s="3" t="s">
        <v>5844</v>
      </c>
      <c r="L107" s="8" t="str">
        <f>HYPERLINK("http://slimages.macys.com/is/image/MCY/14506290 ")</f>
        <v xml:space="preserve">http://slimages.macys.com/is/image/MCY/14506290 </v>
      </c>
    </row>
    <row r="108" spans="1:12" x14ac:dyDescent="0.25">
      <c r="A108" s="6" t="s">
        <v>5911</v>
      </c>
      <c r="B108" s="3" t="s">
        <v>5912</v>
      </c>
      <c r="C108" s="4">
        <v>1</v>
      </c>
      <c r="D108" s="5">
        <v>39.99</v>
      </c>
      <c r="E108" s="4" t="s">
        <v>5913</v>
      </c>
      <c r="F108" s="3" t="s">
        <v>5820</v>
      </c>
      <c r="G108" s="7" t="s">
        <v>5560</v>
      </c>
      <c r="H108" s="3" t="s">
        <v>5606</v>
      </c>
      <c r="I108" s="3" t="s">
        <v>5914</v>
      </c>
      <c r="J108" s="3" t="s">
        <v>5536</v>
      </c>
      <c r="K108" s="3" t="s">
        <v>5594</v>
      </c>
      <c r="L108" s="8" t="str">
        <f>HYPERLINK("http://slimages.macys.com/is/image/MCY/15602396 ")</f>
        <v xml:space="preserve">http://slimages.macys.com/is/image/MCY/15602396 </v>
      </c>
    </row>
    <row r="109" spans="1:12" x14ac:dyDescent="0.25">
      <c r="A109" s="6" t="s">
        <v>5921</v>
      </c>
      <c r="B109" s="3" t="s">
        <v>5922</v>
      </c>
      <c r="C109" s="4">
        <v>1</v>
      </c>
      <c r="D109" s="5">
        <v>59.5</v>
      </c>
      <c r="E109" s="4">
        <v>100031340</v>
      </c>
      <c r="F109" s="3" t="s">
        <v>5540</v>
      </c>
      <c r="G109" s="7" t="s">
        <v>5533</v>
      </c>
      <c r="H109" s="3" t="s">
        <v>5585</v>
      </c>
      <c r="I109" s="3" t="s">
        <v>5586</v>
      </c>
      <c r="J109" s="3" t="s">
        <v>5536</v>
      </c>
      <c r="K109" s="3" t="s">
        <v>5574</v>
      </c>
      <c r="L109" s="8" t="str">
        <f>HYPERLINK("http://slimages.macys.com/is/image/MCY/10790042 ")</f>
        <v xml:space="preserve">http://slimages.macys.com/is/image/MCY/10790042 </v>
      </c>
    </row>
    <row r="110" spans="1:12" ht="24.75" x14ac:dyDescent="0.25">
      <c r="A110" s="6" t="s">
        <v>4770</v>
      </c>
      <c r="B110" s="3" t="s">
        <v>4771</v>
      </c>
      <c r="C110" s="4">
        <v>1</v>
      </c>
      <c r="D110" s="5">
        <v>69.5</v>
      </c>
      <c r="E110" s="4">
        <v>100060886</v>
      </c>
      <c r="F110" s="3" t="s">
        <v>5540</v>
      </c>
      <c r="G110" s="7" t="s">
        <v>6626</v>
      </c>
      <c r="H110" s="3" t="s">
        <v>5585</v>
      </c>
      <c r="I110" s="3" t="s">
        <v>5586</v>
      </c>
      <c r="J110" s="3" t="s">
        <v>5536</v>
      </c>
      <c r="K110" s="3" t="s">
        <v>5864</v>
      </c>
      <c r="L110" s="8" t="str">
        <f>HYPERLINK("http://slimages.macys.com/is/image/MCY/13638521 ")</f>
        <v xml:space="preserve">http://slimages.macys.com/is/image/MCY/13638521 </v>
      </c>
    </row>
    <row r="111" spans="1:12" ht="24.75" x14ac:dyDescent="0.25">
      <c r="A111" s="6" t="s">
        <v>5950</v>
      </c>
      <c r="B111" s="3" t="s">
        <v>5951</v>
      </c>
      <c r="C111" s="4">
        <v>1</v>
      </c>
      <c r="D111" s="5">
        <v>34.99</v>
      </c>
      <c r="E111" s="4" t="s">
        <v>5952</v>
      </c>
      <c r="F111" s="3" t="s">
        <v>5616</v>
      </c>
      <c r="G111" s="7" t="s">
        <v>5533</v>
      </c>
      <c r="H111" s="3" t="s">
        <v>5606</v>
      </c>
      <c r="I111" s="3" t="s">
        <v>5914</v>
      </c>
      <c r="J111" s="3" t="s">
        <v>5536</v>
      </c>
      <c r="K111" s="3" t="s">
        <v>5594</v>
      </c>
      <c r="L111" s="8" t="str">
        <f>HYPERLINK("http://slimages.macys.com/is/image/MCY/15119060 ")</f>
        <v xml:space="preserve">http://slimages.macys.com/is/image/MCY/15119060 </v>
      </c>
    </row>
    <row r="112" spans="1:12" ht="24.75" x14ac:dyDescent="0.25">
      <c r="A112" s="6" t="s">
        <v>4772</v>
      </c>
      <c r="B112" s="3" t="s">
        <v>3872</v>
      </c>
      <c r="C112" s="4">
        <v>1</v>
      </c>
      <c r="D112" s="5">
        <v>34.99</v>
      </c>
      <c r="E112" s="4" t="s">
        <v>3873</v>
      </c>
      <c r="F112" s="3" t="s">
        <v>6275</v>
      </c>
      <c r="G112" s="7" t="s">
        <v>5560</v>
      </c>
      <c r="H112" s="3" t="s">
        <v>5606</v>
      </c>
      <c r="I112" s="3" t="s">
        <v>5914</v>
      </c>
      <c r="J112" s="3" t="s">
        <v>5536</v>
      </c>
      <c r="K112" s="3" t="s">
        <v>5574</v>
      </c>
      <c r="L112" s="8" t="str">
        <f>HYPERLINK("http://slimages.macys.com/is/image/MCY/14433683 ")</f>
        <v xml:space="preserve">http://slimages.macys.com/is/image/MCY/14433683 </v>
      </c>
    </row>
    <row r="113" spans="1:12" ht="24.75" x14ac:dyDescent="0.25">
      <c r="A113" s="6" t="s">
        <v>4773</v>
      </c>
      <c r="B113" s="3" t="s">
        <v>3875</v>
      </c>
      <c r="C113" s="4">
        <v>1</v>
      </c>
      <c r="D113" s="5">
        <v>34.99</v>
      </c>
      <c r="E113" s="4" t="s">
        <v>5941</v>
      </c>
      <c r="F113" s="3" t="s">
        <v>5546</v>
      </c>
      <c r="G113" s="7" t="s">
        <v>5533</v>
      </c>
      <c r="H113" s="3" t="s">
        <v>5606</v>
      </c>
      <c r="I113" s="3" t="s">
        <v>5914</v>
      </c>
      <c r="J113" s="3" t="s">
        <v>5536</v>
      </c>
      <c r="K113" s="3" t="s">
        <v>5553</v>
      </c>
      <c r="L113" s="8" t="str">
        <f>HYPERLINK("http://slimages.macys.com/is/image/MCY/11640947 ")</f>
        <v xml:space="preserve">http://slimages.macys.com/is/image/MCY/11640947 </v>
      </c>
    </row>
    <row r="114" spans="1:12" x14ac:dyDescent="0.25">
      <c r="A114" s="6" t="s">
        <v>4774</v>
      </c>
      <c r="B114" s="3" t="s">
        <v>5951</v>
      </c>
      <c r="C114" s="4">
        <v>1</v>
      </c>
      <c r="D114" s="5">
        <v>34.99</v>
      </c>
      <c r="E114" s="4" t="s">
        <v>5952</v>
      </c>
      <c r="F114" s="3" t="s">
        <v>5820</v>
      </c>
      <c r="G114" s="7" t="s">
        <v>5562</v>
      </c>
      <c r="H114" s="3" t="s">
        <v>5606</v>
      </c>
      <c r="I114" s="3" t="s">
        <v>5914</v>
      </c>
      <c r="J114" s="3" t="s">
        <v>5536</v>
      </c>
      <c r="K114" s="3" t="s">
        <v>5594</v>
      </c>
      <c r="L114" s="8" t="str">
        <f>HYPERLINK("http://slimages.macys.com/is/image/MCY/15119060 ")</f>
        <v xml:space="preserve">http://slimages.macys.com/is/image/MCY/15119060 </v>
      </c>
    </row>
    <row r="115" spans="1:12" x14ac:dyDescent="0.25">
      <c r="A115" s="6" t="s">
        <v>4775</v>
      </c>
      <c r="B115" s="3" t="s">
        <v>5951</v>
      </c>
      <c r="C115" s="4">
        <v>1</v>
      </c>
      <c r="D115" s="5">
        <v>34.99</v>
      </c>
      <c r="E115" s="4" t="s">
        <v>5952</v>
      </c>
      <c r="F115" s="3" t="s">
        <v>5820</v>
      </c>
      <c r="G115" s="7" t="s">
        <v>5560</v>
      </c>
      <c r="H115" s="3" t="s">
        <v>5606</v>
      </c>
      <c r="I115" s="3" t="s">
        <v>5914</v>
      </c>
      <c r="J115" s="3" t="s">
        <v>5536</v>
      </c>
      <c r="K115" s="3" t="s">
        <v>5594</v>
      </c>
      <c r="L115" s="8" t="str">
        <f>HYPERLINK("http://slimages.macys.com/is/image/MCY/15119060 ")</f>
        <v xml:space="preserve">http://slimages.macys.com/is/image/MCY/15119060 </v>
      </c>
    </row>
    <row r="116" spans="1:12" ht="24.75" x14ac:dyDescent="0.25">
      <c r="A116" s="6" t="s">
        <v>4776</v>
      </c>
      <c r="B116" s="3" t="s">
        <v>3875</v>
      </c>
      <c r="C116" s="4">
        <v>1</v>
      </c>
      <c r="D116" s="5">
        <v>34.99</v>
      </c>
      <c r="E116" s="4" t="s">
        <v>5941</v>
      </c>
      <c r="F116" s="3" t="s">
        <v>5546</v>
      </c>
      <c r="G116" s="7" t="s">
        <v>5562</v>
      </c>
      <c r="H116" s="3" t="s">
        <v>5606</v>
      </c>
      <c r="I116" s="3" t="s">
        <v>5914</v>
      </c>
      <c r="J116" s="3" t="s">
        <v>5536</v>
      </c>
      <c r="K116" s="3" t="s">
        <v>5553</v>
      </c>
      <c r="L116" s="8" t="str">
        <f>HYPERLINK("http://slimages.macys.com/is/image/MCY/11640947 ")</f>
        <v xml:space="preserve">http://slimages.macys.com/is/image/MCY/11640947 </v>
      </c>
    </row>
    <row r="117" spans="1:12" x14ac:dyDescent="0.25">
      <c r="A117" s="6" t="s">
        <v>5957</v>
      </c>
      <c r="B117" s="3" t="s">
        <v>5958</v>
      </c>
      <c r="C117" s="4">
        <v>1</v>
      </c>
      <c r="D117" s="5">
        <v>69.5</v>
      </c>
      <c r="E117" s="4">
        <v>100076029</v>
      </c>
      <c r="F117" s="3" t="s">
        <v>5610</v>
      </c>
      <c r="G117" s="7" t="s">
        <v>5567</v>
      </c>
      <c r="H117" s="3" t="s">
        <v>5585</v>
      </c>
      <c r="I117" s="3" t="s">
        <v>5586</v>
      </c>
      <c r="J117" s="3" t="s">
        <v>5536</v>
      </c>
      <c r="K117" s="3" t="s">
        <v>5587</v>
      </c>
      <c r="L117" s="8" t="str">
        <f>HYPERLINK("http://slimages.macys.com/is/image/MCY/15327356 ")</f>
        <v xml:space="preserve">http://slimages.macys.com/is/image/MCY/15327356 </v>
      </c>
    </row>
    <row r="118" spans="1:12" x14ac:dyDescent="0.25">
      <c r="A118" s="6" t="s">
        <v>4777</v>
      </c>
      <c r="B118" s="3" t="s">
        <v>5958</v>
      </c>
      <c r="C118" s="4">
        <v>1</v>
      </c>
      <c r="D118" s="5">
        <v>69.5</v>
      </c>
      <c r="E118" s="4">
        <v>100076029</v>
      </c>
      <c r="F118" s="3" t="s">
        <v>5610</v>
      </c>
      <c r="G118" s="7" t="s">
        <v>5694</v>
      </c>
      <c r="H118" s="3" t="s">
        <v>5585</v>
      </c>
      <c r="I118" s="3" t="s">
        <v>5586</v>
      </c>
      <c r="J118" s="3" t="s">
        <v>5536</v>
      </c>
      <c r="K118" s="3" t="s">
        <v>5587</v>
      </c>
      <c r="L118" s="8" t="str">
        <f>HYPERLINK("http://slimages.macys.com/is/image/MCY/15327356 ")</f>
        <v xml:space="preserve">http://slimages.macys.com/is/image/MCY/15327356 </v>
      </c>
    </row>
    <row r="119" spans="1:12" ht="24.75" x14ac:dyDescent="0.25">
      <c r="A119" s="6" t="s">
        <v>4778</v>
      </c>
      <c r="B119" s="3" t="s">
        <v>4779</v>
      </c>
      <c r="C119" s="4">
        <v>5</v>
      </c>
      <c r="D119" s="5">
        <v>210</v>
      </c>
      <c r="E119" s="4" t="s">
        <v>4780</v>
      </c>
      <c r="F119" s="3" t="s">
        <v>5540</v>
      </c>
      <c r="G119" s="7" t="s">
        <v>6252</v>
      </c>
      <c r="H119" s="3" t="s">
        <v>5899</v>
      </c>
      <c r="I119" s="3" t="s">
        <v>6253</v>
      </c>
      <c r="J119" s="3" t="s">
        <v>5536</v>
      </c>
      <c r="K119" s="3" t="s">
        <v>4781</v>
      </c>
      <c r="L119" s="8" t="str">
        <f>HYPERLINK("http://slimages.macys.com/is/image/MCY/9259786 ")</f>
        <v xml:space="preserve">http://slimages.macys.com/is/image/MCY/9259786 </v>
      </c>
    </row>
    <row r="120" spans="1:12" ht="24.75" x14ac:dyDescent="0.25">
      <c r="A120" s="6" t="s">
        <v>4782</v>
      </c>
      <c r="B120" s="3" t="s">
        <v>4783</v>
      </c>
      <c r="C120" s="4">
        <v>2</v>
      </c>
      <c r="D120" s="5">
        <v>84</v>
      </c>
      <c r="E120" s="4" t="s">
        <v>4784</v>
      </c>
      <c r="F120" s="3" t="s">
        <v>5625</v>
      </c>
      <c r="G120" s="7" t="s">
        <v>6252</v>
      </c>
      <c r="H120" s="3" t="s">
        <v>5899</v>
      </c>
      <c r="I120" s="3" t="s">
        <v>6253</v>
      </c>
      <c r="J120" s="3" t="s">
        <v>5536</v>
      </c>
      <c r="K120" s="3" t="s">
        <v>4781</v>
      </c>
      <c r="L120" s="8" t="str">
        <f>HYPERLINK("http://slimages.macys.com/is/image/MCY/9608385 ")</f>
        <v xml:space="preserve">http://slimages.macys.com/is/image/MCY/9608385 </v>
      </c>
    </row>
    <row r="121" spans="1:12" x14ac:dyDescent="0.25">
      <c r="A121" s="6" t="s">
        <v>4785</v>
      </c>
      <c r="B121" s="3" t="s">
        <v>5960</v>
      </c>
      <c r="C121" s="4">
        <v>1</v>
      </c>
      <c r="D121" s="5">
        <v>34.99</v>
      </c>
      <c r="E121" s="4" t="s">
        <v>5961</v>
      </c>
      <c r="F121" s="3" t="s">
        <v>5783</v>
      </c>
      <c r="G121" s="7" t="s">
        <v>5596</v>
      </c>
      <c r="H121" s="3" t="s">
        <v>5606</v>
      </c>
      <c r="I121" s="3" t="s">
        <v>5914</v>
      </c>
      <c r="J121" s="3" t="s">
        <v>5536</v>
      </c>
      <c r="K121" s="3" t="s">
        <v>5574</v>
      </c>
      <c r="L121" s="8" t="str">
        <f>HYPERLINK("http://slimages.macys.com/is/image/MCY/15138334 ")</f>
        <v xml:space="preserve">http://slimages.macys.com/is/image/MCY/15138334 </v>
      </c>
    </row>
    <row r="122" spans="1:12" ht="24.75" x14ac:dyDescent="0.25">
      <c r="A122" s="6" t="s">
        <v>4786</v>
      </c>
      <c r="B122" s="3" t="s">
        <v>5967</v>
      </c>
      <c r="C122" s="4">
        <v>1</v>
      </c>
      <c r="D122" s="5">
        <v>34.99</v>
      </c>
      <c r="E122" s="4" t="s">
        <v>5968</v>
      </c>
      <c r="F122" s="3" t="s">
        <v>5945</v>
      </c>
      <c r="G122" s="7" t="s">
        <v>5596</v>
      </c>
      <c r="H122" s="3" t="s">
        <v>5606</v>
      </c>
      <c r="I122" s="3" t="s">
        <v>5914</v>
      </c>
      <c r="J122" s="3" t="s">
        <v>5536</v>
      </c>
      <c r="K122" s="3" t="s">
        <v>5574</v>
      </c>
      <c r="L122" s="8" t="str">
        <f>HYPERLINK("http://slimages.macys.com/is/image/MCY/14350785 ")</f>
        <v xml:space="preserve">http://slimages.macys.com/is/image/MCY/14350785 </v>
      </c>
    </row>
    <row r="123" spans="1:12" x14ac:dyDescent="0.25">
      <c r="A123" s="6" t="s">
        <v>4787</v>
      </c>
      <c r="B123" s="3" t="s">
        <v>5973</v>
      </c>
      <c r="C123" s="4">
        <v>1</v>
      </c>
      <c r="D123" s="5">
        <v>34.99</v>
      </c>
      <c r="E123" s="4" t="s">
        <v>5968</v>
      </c>
      <c r="F123" s="3" t="s">
        <v>5783</v>
      </c>
      <c r="G123" s="7" t="s">
        <v>5596</v>
      </c>
      <c r="H123" s="3" t="s">
        <v>5606</v>
      </c>
      <c r="I123" s="3" t="s">
        <v>5914</v>
      </c>
      <c r="J123" s="3" t="s">
        <v>5536</v>
      </c>
      <c r="K123" s="3" t="s">
        <v>5574</v>
      </c>
      <c r="L123" s="8" t="str">
        <f>HYPERLINK("http://slimages.macys.com/is/image/MCY/14350785 ")</f>
        <v xml:space="preserve">http://slimages.macys.com/is/image/MCY/14350785 </v>
      </c>
    </row>
    <row r="124" spans="1:12" x14ac:dyDescent="0.25">
      <c r="A124" s="6" t="s">
        <v>4788</v>
      </c>
      <c r="B124" s="3" t="s">
        <v>4789</v>
      </c>
      <c r="C124" s="4">
        <v>1</v>
      </c>
      <c r="D124" s="5">
        <v>34.99</v>
      </c>
      <c r="E124" s="4" t="s">
        <v>4790</v>
      </c>
      <c r="F124" s="3" t="s">
        <v>5566</v>
      </c>
      <c r="G124" s="7" t="s">
        <v>5596</v>
      </c>
      <c r="H124" s="3" t="s">
        <v>5606</v>
      </c>
      <c r="I124" s="3" t="s">
        <v>5914</v>
      </c>
      <c r="J124" s="3" t="s">
        <v>5536</v>
      </c>
      <c r="K124" s="3" t="s">
        <v>5574</v>
      </c>
      <c r="L124" s="8" t="str">
        <f>HYPERLINK("http://slimages.macys.com/is/image/MCY/14512800 ")</f>
        <v xml:space="preserve">http://slimages.macys.com/is/image/MCY/14512800 </v>
      </c>
    </row>
    <row r="125" spans="1:12" x14ac:dyDescent="0.25">
      <c r="A125" s="6" t="s">
        <v>4791</v>
      </c>
      <c r="B125" s="3" t="s">
        <v>4792</v>
      </c>
      <c r="C125" s="4">
        <v>1</v>
      </c>
      <c r="D125" s="5">
        <v>34.99</v>
      </c>
      <c r="E125" s="4" t="s">
        <v>4793</v>
      </c>
      <c r="F125" s="3"/>
      <c r="G125" s="7" t="s">
        <v>5562</v>
      </c>
      <c r="H125" s="3" t="s">
        <v>5606</v>
      </c>
      <c r="I125" s="3" t="s">
        <v>5914</v>
      </c>
      <c r="J125" s="3" t="s">
        <v>5536</v>
      </c>
      <c r="K125" s="3" t="s">
        <v>5574</v>
      </c>
      <c r="L125" s="8" t="str">
        <f>HYPERLINK("http://slimages.macys.com/is/image/MCY/14434322 ")</f>
        <v xml:space="preserve">http://slimages.macys.com/is/image/MCY/14434322 </v>
      </c>
    </row>
    <row r="126" spans="1:12" ht="24.75" x14ac:dyDescent="0.25">
      <c r="A126" s="6" t="s">
        <v>4794</v>
      </c>
      <c r="B126" s="3" t="s">
        <v>4795</v>
      </c>
      <c r="C126" s="4">
        <v>1</v>
      </c>
      <c r="D126" s="5">
        <v>40</v>
      </c>
      <c r="E126" s="4" t="s">
        <v>4796</v>
      </c>
      <c r="F126" s="3" t="s">
        <v>5532</v>
      </c>
      <c r="G126" s="7" t="s">
        <v>6252</v>
      </c>
      <c r="H126" s="3" t="s">
        <v>5899</v>
      </c>
      <c r="I126" s="3" t="s">
        <v>6253</v>
      </c>
      <c r="J126" s="3" t="s">
        <v>5536</v>
      </c>
      <c r="K126" s="3" t="s">
        <v>4781</v>
      </c>
      <c r="L126" s="8" t="str">
        <f>HYPERLINK("http://slimages.macys.com/is/image/MCY/9259786 ")</f>
        <v xml:space="preserve">http://slimages.macys.com/is/image/MCY/9259786 </v>
      </c>
    </row>
    <row r="127" spans="1:12" ht="24.75" x14ac:dyDescent="0.25">
      <c r="A127" s="6" t="s">
        <v>5985</v>
      </c>
      <c r="B127" s="3" t="s">
        <v>5986</v>
      </c>
      <c r="C127" s="4">
        <v>3</v>
      </c>
      <c r="D127" s="5">
        <v>138.6</v>
      </c>
      <c r="E127" s="4" t="s">
        <v>5987</v>
      </c>
      <c r="F127" s="3" t="s">
        <v>5540</v>
      </c>
      <c r="G127" s="7" t="s">
        <v>5898</v>
      </c>
      <c r="H127" s="3" t="s">
        <v>5842</v>
      </c>
      <c r="I127" s="3" t="s">
        <v>5904</v>
      </c>
      <c r="J127" s="3" t="s">
        <v>5536</v>
      </c>
      <c r="K127" s="3" t="s">
        <v>5984</v>
      </c>
      <c r="L127" s="8" t="str">
        <f>HYPERLINK("http://slimages.macys.com/is/image/MCY/14312374 ")</f>
        <v xml:space="preserve">http://slimages.macys.com/is/image/MCY/14312374 </v>
      </c>
    </row>
    <row r="128" spans="1:12" ht="24.75" x14ac:dyDescent="0.25">
      <c r="A128" s="6" t="s">
        <v>5981</v>
      </c>
      <c r="B128" s="3" t="s">
        <v>5982</v>
      </c>
      <c r="C128" s="4">
        <v>1</v>
      </c>
      <c r="D128" s="5">
        <v>46.2</v>
      </c>
      <c r="E128" s="4" t="s">
        <v>5983</v>
      </c>
      <c r="F128" s="3" t="s">
        <v>5540</v>
      </c>
      <c r="G128" s="7" t="s">
        <v>5898</v>
      </c>
      <c r="H128" s="3" t="s">
        <v>5842</v>
      </c>
      <c r="I128" s="3" t="s">
        <v>5904</v>
      </c>
      <c r="J128" s="3" t="s">
        <v>5536</v>
      </c>
      <c r="K128" s="3" t="s">
        <v>5984</v>
      </c>
      <c r="L128" s="8" t="str">
        <f>HYPERLINK("http://slimages.macys.com/is/image/MCY/14312268 ")</f>
        <v xml:space="preserve">http://slimages.macys.com/is/image/MCY/14312268 </v>
      </c>
    </row>
    <row r="129" spans="1:12" ht="24.75" x14ac:dyDescent="0.25">
      <c r="A129" s="6" t="s">
        <v>4797</v>
      </c>
      <c r="B129" s="3" t="s">
        <v>4798</v>
      </c>
      <c r="C129" s="4">
        <v>1</v>
      </c>
      <c r="D129" s="5">
        <v>44</v>
      </c>
      <c r="E129" s="4" t="s">
        <v>4799</v>
      </c>
      <c r="F129" s="3" t="s">
        <v>6217</v>
      </c>
      <c r="G129" s="7" t="s">
        <v>5816</v>
      </c>
      <c r="H129" s="3" t="s">
        <v>5722</v>
      </c>
      <c r="I129" s="3" t="s">
        <v>5773</v>
      </c>
      <c r="J129" s="3" t="s">
        <v>5536</v>
      </c>
      <c r="K129" s="3" t="s">
        <v>5594</v>
      </c>
      <c r="L129" s="8" t="str">
        <f>HYPERLINK("http://slimages.macys.com/is/image/MCY/12489909 ")</f>
        <v xml:space="preserve">http://slimages.macys.com/is/image/MCY/12489909 </v>
      </c>
    </row>
    <row r="130" spans="1:12" ht="24.75" x14ac:dyDescent="0.25">
      <c r="A130" s="6" t="s">
        <v>4800</v>
      </c>
      <c r="B130" s="3" t="s">
        <v>4801</v>
      </c>
      <c r="C130" s="4">
        <v>1</v>
      </c>
      <c r="D130" s="5">
        <v>34.99</v>
      </c>
      <c r="E130" s="4" t="s">
        <v>4802</v>
      </c>
      <c r="F130" s="3" t="s">
        <v>5745</v>
      </c>
      <c r="G130" s="7" t="s">
        <v>5560</v>
      </c>
      <c r="H130" s="3" t="s">
        <v>6003</v>
      </c>
      <c r="I130" s="3" t="s">
        <v>6004</v>
      </c>
      <c r="J130" s="3" t="s">
        <v>5536</v>
      </c>
      <c r="K130" s="3" t="s">
        <v>4803</v>
      </c>
      <c r="L130" s="8" t="str">
        <f>HYPERLINK("http://slimages.macys.com/is/image/MCY/14766516 ")</f>
        <v xml:space="preserve">http://slimages.macys.com/is/image/MCY/14766516 </v>
      </c>
    </row>
    <row r="131" spans="1:12" x14ac:dyDescent="0.25">
      <c r="A131" s="6" t="s">
        <v>4804</v>
      </c>
      <c r="B131" s="3" t="s">
        <v>4031</v>
      </c>
      <c r="C131" s="4">
        <v>1</v>
      </c>
      <c r="D131" s="5">
        <v>49.5</v>
      </c>
      <c r="E131" s="4">
        <v>100033772</v>
      </c>
      <c r="F131" s="3" t="s">
        <v>5754</v>
      </c>
      <c r="G131" s="7" t="s">
        <v>5533</v>
      </c>
      <c r="H131" s="3" t="s">
        <v>5585</v>
      </c>
      <c r="I131" s="3" t="s">
        <v>5734</v>
      </c>
      <c r="J131" s="3" t="s">
        <v>5536</v>
      </c>
      <c r="K131" s="3" t="s">
        <v>5594</v>
      </c>
      <c r="L131" s="8" t="str">
        <f>HYPERLINK("http://slimages.macys.com/is/image/MCY/10217036 ")</f>
        <v xml:space="preserve">http://slimages.macys.com/is/image/MCY/10217036 </v>
      </c>
    </row>
    <row r="132" spans="1:12" x14ac:dyDescent="0.25">
      <c r="A132" s="6" t="s">
        <v>4805</v>
      </c>
      <c r="B132" s="3" t="s">
        <v>4031</v>
      </c>
      <c r="C132" s="4">
        <v>1</v>
      </c>
      <c r="D132" s="5">
        <v>49.5</v>
      </c>
      <c r="E132" s="4">
        <v>100033772</v>
      </c>
      <c r="F132" s="3" t="s">
        <v>5754</v>
      </c>
      <c r="G132" s="7" t="s">
        <v>5560</v>
      </c>
      <c r="H132" s="3" t="s">
        <v>5585</v>
      </c>
      <c r="I132" s="3" t="s">
        <v>5734</v>
      </c>
      <c r="J132" s="3" t="s">
        <v>5536</v>
      </c>
      <c r="K132" s="3" t="s">
        <v>5594</v>
      </c>
      <c r="L132" s="8" t="str">
        <f>HYPERLINK("http://slimages.macys.com/is/image/MCY/10217036 ")</f>
        <v xml:space="preserve">http://slimages.macys.com/is/image/MCY/10217036 </v>
      </c>
    </row>
    <row r="133" spans="1:12" x14ac:dyDescent="0.25">
      <c r="A133" s="6" t="s">
        <v>4806</v>
      </c>
      <c r="B133" s="3" t="s">
        <v>4031</v>
      </c>
      <c r="C133" s="4">
        <v>1</v>
      </c>
      <c r="D133" s="5">
        <v>49.5</v>
      </c>
      <c r="E133" s="4">
        <v>100033772</v>
      </c>
      <c r="F133" s="3" t="s">
        <v>5754</v>
      </c>
      <c r="G133" s="7" t="s">
        <v>5562</v>
      </c>
      <c r="H133" s="3" t="s">
        <v>5585</v>
      </c>
      <c r="I133" s="3" t="s">
        <v>5734</v>
      </c>
      <c r="J133" s="3" t="s">
        <v>5536</v>
      </c>
      <c r="K133" s="3" t="s">
        <v>5594</v>
      </c>
      <c r="L133" s="8" t="str">
        <f>HYPERLINK("http://slimages.macys.com/is/image/MCY/10217036 ")</f>
        <v xml:space="preserve">http://slimages.macys.com/is/image/MCY/10217036 </v>
      </c>
    </row>
    <row r="134" spans="1:12" ht="24.75" x14ac:dyDescent="0.25">
      <c r="A134" s="6" t="s">
        <v>4807</v>
      </c>
      <c r="B134" s="3" t="s">
        <v>4808</v>
      </c>
      <c r="C134" s="4">
        <v>1</v>
      </c>
      <c r="D134" s="5">
        <v>29.99</v>
      </c>
      <c r="E134" s="4" t="s">
        <v>4809</v>
      </c>
      <c r="F134" s="3" t="s">
        <v>5540</v>
      </c>
      <c r="G134" s="7" t="s">
        <v>5777</v>
      </c>
      <c r="H134" s="3" t="s">
        <v>5722</v>
      </c>
      <c r="I134" s="3" t="s">
        <v>4810</v>
      </c>
      <c r="J134" s="3" t="s">
        <v>5536</v>
      </c>
      <c r="K134" s="3" t="s">
        <v>5549</v>
      </c>
      <c r="L134" s="8" t="str">
        <f>HYPERLINK("http://slimages.macys.com/is/image/MCY/15798264 ")</f>
        <v xml:space="preserve">http://slimages.macys.com/is/image/MCY/15798264 </v>
      </c>
    </row>
    <row r="135" spans="1:12" x14ac:dyDescent="0.25">
      <c r="A135" s="6" t="s">
        <v>4811</v>
      </c>
      <c r="B135" s="3" t="s">
        <v>4812</v>
      </c>
      <c r="C135" s="4">
        <v>1</v>
      </c>
      <c r="D135" s="5">
        <v>49.5</v>
      </c>
      <c r="E135" s="4">
        <v>100061166</v>
      </c>
      <c r="F135" s="3" t="s">
        <v>5820</v>
      </c>
      <c r="G135" s="7" t="s">
        <v>5562</v>
      </c>
      <c r="H135" s="3" t="s">
        <v>5585</v>
      </c>
      <c r="I135" s="3" t="s">
        <v>5734</v>
      </c>
      <c r="J135" s="3" t="s">
        <v>5536</v>
      </c>
      <c r="K135" s="3" t="s">
        <v>5553</v>
      </c>
      <c r="L135" s="8" t="str">
        <f>HYPERLINK("http://slimages.macys.com/is/image/MCY/13286969 ")</f>
        <v xml:space="preserve">http://slimages.macys.com/is/image/MCY/13286969 </v>
      </c>
    </row>
    <row r="136" spans="1:12" ht="24.75" x14ac:dyDescent="0.25">
      <c r="A136" s="6" t="s">
        <v>4813</v>
      </c>
      <c r="B136" s="3" t="s">
        <v>4814</v>
      </c>
      <c r="C136" s="4">
        <v>1</v>
      </c>
      <c r="D136" s="5">
        <v>33.99</v>
      </c>
      <c r="E136" s="4" t="s">
        <v>4815</v>
      </c>
      <c r="F136" s="3" t="s">
        <v>5552</v>
      </c>
      <c r="G136" s="7" t="s">
        <v>5533</v>
      </c>
      <c r="H136" s="3" t="s">
        <v>5794</v>
      </c>
      <c r="I136" s="3" t="s">
        <v>5920</v>
      </c>
      <c r="J136" s="3" t="s">
        <v>5536</v>
      </c>
      <c r="K136" s="3" t="s">
        <v>5594</v>
      </c>
      <c r="L136" s="8" t="str">
        <f>HYPERLINK("http://slimages.macys.com/is/image/MCY/8884918 ")</f>
        <v xml:space="preserve">http://slimages.macys.com/is/image/MCY/8884918 </v>
      </c>
    </row>
    <row r="137" spans="1:12" ht="24.75" x14ac:dyDescent="0.25">
      <c r="A137" s="6" t="s">
        <v>4816</v>
      </c>
      <c r="B137" s="3" t="s">
        <v>4817</v>
      </c>
      <c r="C137" s="4">
        <v>1</v>
      </c>
      <c r="D137" s="5">
        <v>30</v>
      </c>
      <c r="E137" s="4" t="s">
        <v>4818</v>
      </c>
      <c r="F137" s="3" t="s">
        <v>6146</v>
      </c>
      <c r="G137" s="7" t="s">
        <v>5560</v>
      </c>
      <c r="H137" s="3" t="s">
        <v>4819</v>
      </c>
      <c r="I137" s="3" t="s">
        <v>4820</v>
      </c>
      <c r="J137" s="3" t="s">
        <v>5536</v>
      </c>
      <c r="K137" s="3" t="s">
        <v>5549</v>
      </c>
      <c r="L137" s="8" t="str">
        <f>HYPERLINK("http://slimages.macys.com/is/image/MCY/15146052 ")</f>
        <v xml:space="preserve">http://slimages.macys.com/is/image/MCY/15146052 </v>
      </c>
    </row>
    <row r="138" spans="1:12" ht="72.75" x14ac:dyDescent="0.25">
      <c r="A138" s="6" t="s">
        <v>4548</v>
      </c>
      <c r="B138" s="3" t="s">
        <v>6098</v>
      </c>
      <c r="C138" s="4">
        <v>2</v>
      </c>
      <c r="D138" s="5">
        <v>72.5</v>
      </c>
      <c r="E138" s="4" t="s">
        <v>6099</v>
      </c>
      <c r="F138" s="3" t="s">
        <v>5540</v>
      </c>
      <c r="G138" s="7" t="s">
        <v>5562</v>
      </c>
      <c r="H138" s="3" t="s">
        <v>5842</v>
      </c>
      <c r="I138" s="3" t="s">
        <v>5843</v>
      </c>
      <c r="J138" s="3" t="s">
        <v>5536</v>
      </c>
      <c r="K138" s="3" t="s">
        <v>6100</v>
      </c>
      <c r="L138" s="8" t="str">
        <f>HYPERLINK("http://slimages.macys.com/is/image/MCY/14506916 ")</f>
        <v xml:space="preserve">http://slimages.macys.com/is/image/MCY/14506916 </v>
      </c>
    </row>
    <row r="139" spans="1:12" ht="36.75" x14ac:dyDescent="0.25">
      <c r="A139" s="6" t="s">
        <v>6093</v>
      </c>
      <c r="B139" s="3" t="s">
        <v>6094</v>
      </c>
      <c r="C139" s="4">
        <v>1</v>
      </c>
      <c r="D139" s="5">
        <v>36.25</v>
      </c>
      <c r="E139" s="4" t="s">
        <v>6095</v>
      </c>
      <c r="F139" s="3" t="s">
        <v>5540</v>
      </c>
      <c r="G139" s="7" t="s">
        <v>5596</v>
      </c>
      <c r="H139" s="3" t="s">
        <v>5842</v>
      </c>
      <c r="I139" s="3" t="s">
        <v>5843</v>
      </c>
      <c r="J139" s="3" t="s">
        <v>5536</v>
      </c>
      <c r="K139" s="3" t="s">
        <v>6096</v>
      </c>
      <c r="L139" s="8" t="str">
        <f>HYPERLINK("http://slimages.macys.com/is/image/MCY/14507447 ")</f>
        <v xml:space="preserve">http://slimages.macys.com/is/image/MCY/14507447 </v>
      </c>
    </row>
    <row r="140" spans="1:12" ht="72.75" x14ac:dyDescent="0.25">
      <c r="A140" s="6" t="s">
        <v>6097</v>
      </c>
      <c r="B140" s="3" t="s">
        <v>6098</v>
      </c>
      <c r="C140" s="4">
        <v>3</v>
      </c>
      <c r="D140" s="5">
        <v>108.75</v>
      </c>
      <c r="E140" s="4" t="s">
        <v>6099</v>
      </c>
      <c r="F140" s="3" t="s">
        <v>5540</v>
      </c>
      <c r="G140" s="7" t="s">
        <v>5533</v>
      </c>
      <c r="H140" s="3" t="s">
        <v>5842</v>
      </c>
      <c r="I140" s="3" t="s">
        <v>5843</v>
      </c>
      <c r="J140" s="3" t="s">
        <v>5536</v>
      </c>
      <c r="K140" s="3" t="s">
        <v>6100</v>
      </c>
      <c r="L140" s="8" t="str">
        <f>HYPERLINK("http://slimages.macys.com/is/image/MCY/14506916 ")</f>
        <v xml:space="preserve">http://slimages.macys.com/is/image/MCY/14506916 </v>
      </c>
    </row>
    <row r="141" spans="1:12" ht="36.75" x14ac:dyDescent="0.25">
      <c r="A141" s="6" t="s">
        <v>6107</v>
      </c>
      <c r="B141" s="3" t="s">
        <v>6094</v>
      </c>
      <c r="C141" s="4">
        <v>1</v>
      </c>
      <c r="D141" s="5">
        <v>36.25</v>
      </c>
      <c r="E141" s="4" t="s">
        <v>6095</v>
      </c>
      <c r="F141" s="3" t="s">
        <v>5540</v>
      </c>
      <c r="G141" s="7" t="s">
        <v>5533</v>
      </c>
      <c r="H141" s="3" t="s">
        <v>5842</v>
      </c>
      <c r="I141" s="3" t="s">
        <v>5843</v>
      </c>
      <c r="J141" s="3" t="s">
        <v>5536</v>
      </c>
      <c r="K141" s="3" t="s">
        <v>6096</v>
      </c>
      <c r="L141" s="8" t="str">
        <f>HYPERLINK("http://slimages.macys.com/is/image/MCY/14507447 ")</f>
        <v xml:space="preserve">http://slimages.macys.com/is/image/MCY/14507447 </v>
      </c>
    </row>
    <row r="142" spans="1:12" ht="84.75" x14ac:dyDescent="0.25">
      <c r="A142" s="6" t="s">
        <v>6109</v>
      </c>
      <c r="B142" s="3" t="s">
        <v>6104</v>
      </c>
      <c r="C142" s="4">
        <v>2</v>
      </c>
      <c r="D142" s="5">
        <v>72.5</v>
      </c>
      <c r="E142" s="4" t="s">
        <v>6105</v>
      </c>
      <c r="F142" s="3" t="s">
        <v>5540</v>
      </c>
      <c r="G142" s="7" t="s">
        <v>5533</v>
      </c>
      <c r="H142" s="3" t="s">
        <v>5842</v>
      </c>
      <c r="I142" s="3" t="s">
        <v>5843</v>
      </c>
      <c r="J142" s="3" t="s">
        <v>5536</v>
      </c>
      <c r="K142" s="3" t="s">
        <v>6106</v>
      </c>
      <c r="L142" s="8" t="str">
        <f>HYPERLINK("http://slimages.macys.com/is/image/MCY/14506653 ")</f>
        <v xml:space="preserve">http://slimages.macys.com/is/image/MCY/14506653 </v>
      </c>
    </row>
    <row r="143" spans="1:12" ht="84.75" x14ac:dyDescent="0.25">
      <c r="A143" s="6" t="s">
        <v>6108</v>
      </c>
      <c r="B143" s="3" t="s">
        <v>6104</v>
      </c>
      <c r="C143" s="4">
        <v>1</v>
      </c>
      <c r="D143" s="5">
        <v>36.25</v>
      </c>
      <c r="E143" s="4" t="s">
        <v>6105</v>
      </c>
      <c r="F143" s="3" t="s">
        <v>5540</v>
      </c>
      <c r="G143" s="7" t="s">
        <v>5562</v>
      </c>
      <c r="H143" s="3" t="s">
        <v>5842</v>
      </c>
      <c r="I143" s="3" t="s">
        <v>5843</v>
      </c>
      <c r="J143" s="3" t="s">
        <v>5536</v>
      </c>
      <c r="K143" s="3" t="s">
        <v>6106</v>
      </c>
      <c r="L143" s="8" t="str">
        <f>HYPERLINK("http://slimages.macys.com/is/image/MCY/14506653 ")</f>
        <v xml:space="preserve">http://slimages.macys.com/is/image/MCY/14506653 </v>
      </c>
    </row>
    <row r="144" spans="1:12" ht="24.75" x14ac:dyDescent="0.25">
      <c r="A144" s="6" t="s">
        <v>4821</v>
      </c>
      <c r="B144" s="3" t="s">
        <v>4822</v>
      </c>
      <c r="C144" s="4">
        <v>1</v>
      </c>
      <c r="D144" s="5">
        <v>59.5</v>
      </c>
      <c r="E144" s="4">
        <v>100065383</v>
      </c>
      <c r="F144" s="3" t="s">
        <v>6275</v>
      </c>
      <c r="G144" s="7" t="s">
        <v>5533</v>
      </c>
      <c r="H144" s="3" t="s">
        <v>5585</v>
      </c>
      <c r="I144" s="3" t="s">
        <v>5734</v>
      </c>
      <c r="J144" s="3" t="s">
        <v>5536</v>
      </c>
      <c r="K144" s="3" t="s">
        <v>5594</v>
      </c>
      <c r="L144" s="8" t="str">
        <f>HYPERLINK("http://slimages.macys.com/is/image/MCY/14807202 ")</f>
        <v xml:space="preserve">http://slimages.macys.com/is/image/MCY/14807202 </v>
      </c>
    </row>
    <row r="145" spans="1:12" ht="24.75" x14ac:dyDescent="0.25">
      <c r="A145" s="6" t="s">
        <v>4823</v>
      </c>
      <c r="B145" s="3" t="s">
        <v>4824</v>
      </c>
      <c r="C145" s="4">
        <v>1</v>
      </c>
      <c r="D145" s="5">
        <v>69.5</v>
      </c>
      <c r="E145" s="4">
        <v>100029704</v>
      </c>
      <c r="F145" s="3" t="s">
        <v>5793</v>
      </c>
      <c r="G145" s="7" t="s">
        <v>5707</v>
      </c>
      <c r="H145" s="3" t="s">
        <v>5955</v>
      </c>
      <c r="I145" s="3" t="s">
        <v>5956</v>
      </c>
      <c r="J145" s="3" t="s">
        <v>5536</v>
      </c>
      <c r="K145" s="3" t="s">
        <v>6092</v>
      </c>
      <c r="L145" s="8" t="str">
        <f>HYPERLINK("http://slimages.macys.com/is/image/MCY/9916325 ")</f>
        <v xml:space="preserve">http://slimages.macys.com/is/image/MCY/9916325 </v>
      </c>
    </row>
    <row r="146" spans="1:12" ht="24.75" x14ac:dyDescent="0.25">
      <c r="A146" s="6" t="s">
        <v>4825</v>
      </c>
      <c r="B146" s="3" t="s">
        <v>4826</v>
      </c>
      <c r="C146" s="4">
        <v>1</v>
      </c>
      <c r="D146" s="5">
        <v>44.99</v>
      </c>
      <c r="E146" s="4" t="s">
        <v>4827</v>
      </c>
      <c r="F146" s="3" t="s">
        <v>5625</v>
      </c>
      <c r="G146" s="7" t="s">
        <v>5533</v>
      </c>
      <c r="H146" s="3" t="s">
        <v>6522</v>
      </c>
      <c r="I146" s="3" t="s">
        <v>4828</v>
      </c>
      <c r="J146" s="3" t="s">
        <v>5536</v>
      </c>
      <c r="K146" s="3" t="s">
        <v>5727</v>
      </c>
      <c r="L146" s="8" t="str">
        <f>HYPERLINK("http://slimages.macys.com/is/image/MCY/14773034 ")</f>
        <v xml:space="preserve">http://slimages.macys.com/is/image/MCY/14773034 </v>
      </c>
    </row>
    <row r="147" spans="1:12" ht="24.75" x14ac:dyDescent="0.25">
      <c r="A147" s="6" t="s">
        <v>4829</v>
      </c>
      <c r="B147" s="3" t="s">
        <v>4830</v>
      </c>
      <c r="C147" s="4">
        <v>3</v>
      </c>
      <c r="D147" s="5">
        <v>87</v>
      </c>
      <c r="E147" s="4" t="s">
        <v>4831</v>
      </c>
      <c r="F147" s="3" t="s">
        <v>5625</v>
      </c>
      <c r="G147" s="7" t="s">
        <v>6252</v>
      </c>
      <c r="H147" s="3" t="s">
        <v>5899</v>
      </c>
      <c r="I147" s="3" t="s">
        <v>6253</v>
      </c>
      <c r="J147" s="3" t="s">
        <v>5536</v>
      </c>
      <c r="K147" s="3" t="s">
        <v>4832</v>
      </c>
      <c r="L147" s="8" t="str">
        <f>HYPERLINK("http://slimages.macys.com/is/image/MCY/14602300 ")</f>
        <v xml:space="preserve">http://slimages.macys.com/is/image/MCY/14602300 </v>
      </c>
    </row>
    <row r="148" spans="1:12" ht="72.75" x14ac:dyDescent="0.25">
      <c r="A148" s="6" t="s">
        <v>6124</v>
      </c>
      <c r="B148" s="3" t="s">
        <v>6120</v>
      </c>
      <c r="C148" s="4">
        <v>1</v>
      </c>
      <c r="D148" s="5">
        <v>34.380000000000003</v>
      </c>
      <c r="E148" s="4" t="s">
        <v>6121</v>
      </c>
      <c r="F148" s="3" t="s">
        <v>5540</v>
      </c>
      <c r="G148" s="7" t="s">
        <v>5596</v>
      </c>
      <c r="H148" s="3" t="s">
        <v>5842</v>
      </c>
      <c r="I148" s="3" t="s">
        <v>5843</v>
      </c>
      <c r="J148" s="3" t="s">
        <v>5536</v>
      </c>
      <c r="K148" s="3" t="s">
        <v>6122</v>
      </c>
      <c r="L148" s="8" t="str">
        <f>HYPERLINK("http://slimages.macys.com/is/image/MCY/15251818 ")</f>
        <v xml:space="preserve">http://slimages.macys.com/is/image/MCY/15251818 </v>
      </c>
    </row>
    <row r="149" spans="1:12" ht="24.75" x14ac:dyDescent="0.25">
      <c r="A149" s="6" t="s">
        <v>4833</v>
      </c>
      <c r="B149" s="3" t="s">
        <v>4834</v>
      </c>
      <c r="C149" s="4">
        <v>1</v>
      </c>
      <c r="D149" s="5">
        <v>29.98</v>
      </c>
      <c r="E149" s="4" t="s">
        <v>4835</v>
      </c>
      <c r="F149" s="3" t="s">
        <v>5754</v>
      </c>
      <c r="G149" s="7" t="s">
        <v>5799</v>
      </c>
      <c r="H149" s="3" t="s">
        <v>6019</v>
      </c>
      <c r="I149" s="3" t="s">
        <v>4836</v>
      </c>
      <c r="J149" s="3" t="s">
        <v>5536</v>
      </c>
      <c r="K149" s="3" t="s">
        <v>5594</v>
      </c>
      <c r="L149" s="8" t="str">
        <f>HYPERLINK("http://slimages.macys.com/is/image/MCY/2592884 ")</f>
        <v xml:space="preserve">http://slimages.macys.com/is/image/MCY/2592884 </v>
      </c>
    </row>
    <row r="150" spans="1:12" ht="24.75" x14ac:dyDescent="0.25">
      <c r="A150" s="6" t="s">
        <v>4837</v>
      </c>
      <c r="B150" s="3" t="s">
        <v>6135</v>
      </c>
      <c r="C150" s="4">
        <v>1</v>
      </c>
      <c r="D150" s="5">
        <v>40</v>
      </c>
      <c r="E150" s="4" t="s">
        <v>6136</v>
      </c>
      <c r="F150" s="3" t="s">
        <v>5532</v>
      </c>
      <c r="G150" s="7" t="s">
        <v>5596</v>
      </c>
      <c r="H150" s="3" t="s">
        <v>6019</v>
      </c>
      <c r="I150" s="3" t="s">
        <v>6020</v>
      </c>
      <c r="J150" s="3"/>
      <c r="K150" s="3" t="s">
        <v>5549</v>
      </c>
      <c r="L150" s="8" t="str">
        <f>HYPERLINK("http://slimages.macys.com/is/image/MCY/15630012 ")</f>
        <v xml:space="preserve">http://slimages.macys.com/is/image/MCY/15630012 </v>
      </c>
    </row>
    <row r="151" spans="1:12" ht="24.75" x14ac:dyDescent="0.25">
      <c r="A151" s="6" t="s">
        <v>4838</v>
      </c>
      <c r="B151" s="3" t="s">
        <v>4839</v>
      </c>
      <c r="C151" s="4">
        <v>1</v>
      </c>
      <c r="D151" s="5">
        <v>40</v>
      </c>
      <c r="E151" s="4" t="s">
        <v>4840</v>
      </c>
      <c r="F151" s="3" t="s">
        <v>5578</v>
      </c>
      <c r="G151" s="7" t="s">
        <v>5850</v>
      </c>
      <c r="H151" s="3" t="s">
        <v>6019</v>
      </c>
      <c r="I151" s="3" t="s">
        <v>6020</v>
      </c>
      <c r="J151" s="3" t="s">
        <v>5536</v>
      </c>
      <c r="K151" s="3" t="s">
        <v>6021</v>
      </c>
      <c r="L151" s="8" t="str">
        <f>HYPERLINK("http://slimages.macys.com/is/image/MCY/13727840 ")</f>
        <v xml:space="preserve">http://slimages.macys.com/is/image/MCY/13727840 </v>
      </c>
    </row>
    <row r="152" spans="1:12" x14ac:dyDescent="0.25">
      <c r="A152" s="6" t="s">
        <v>4841</v>
      </c>
      <c r="B152" s="3" t="s">
        <v>6149</v>
      </c>
      <c r="C152" s="4">
        <v>1</v>
      </c>
      <c r="D152" s="5">
        <v>44.99</v>
      </c>
      <c r="E152" s="4" t="s">
        <v>6150</v>
      </c>
      <c r="F152" s="3" t="s">
        <v>5610</v>
      </c>
      <c r="G152" s="7" t="s">
        <v>5562</v>
      </c>
      <c r="H152" s="3" t="s">
        <v>5978</v>
      </c>
      <c r="I152" s="3" t="s">
        <v>5979</v>
      </c>
      <c r="J152" s="3" t="s">
        <v>5536</v>
      </c>
      <c r="K152" s="3" t="s">
        <v>5574</v>
      </c>
      <c r="L152" s="8" t="str">
        <f>HYPERLINK("http://slimages.macys.com/is/image/MCY/15571655 ")</f>
        <v xml:space="preserve">http://slimages.macys.com/is/image/MCY/15571655 </v>
      </c>
    </row>
    <row r="153" spans="1:12" ht="24.75" x14ac:dyDescent="0.25">
      <c r="A153" s="6" t="s">
        <v>4842</v>
      </c>
      <c r="B153" s="3" t="s">
        <v>4843</v>
      </c>
      <c r="C153" s="4">
        <v>1</v>
      </c>
      <c r="D153" s="5">
        <v>44.99</v>
      </c>
      <c r="E153" s="4" t="s">
        <v>4844</v>
      </c>
      <c r="F153" s="3" t="s">
        <v>5820</v>
      </c>
      <c r="G153" s="7" t="s">
        <v>5596</v>
      </c>
      <c r="H153" s="3" t="s">
        <v>5978</v>
      </c>
      <c r="I153" s="3" t="s">
        <v>5979</v>
      </c>
      <c r="J153" s="3" t="s">
        <v>5536</v>
      </c>
      <c r="K153" s="3" t="s">
        <v>5574</v>
      </c>
      <c r="L153" s="8" t="str">
        <f>HYPERLINK("http://slimages.macys.com/is/image/MCY/15895350 ")</f>
        <v xml:space="preserve">http://slimages.macys.com/is/image/MCY/15895350 </v>
      </c>
    </row>
    <row r="154" spans="1:12" ht="24.75" x14ac:dyDescent="0.25">
      <c r="A154" s="6" t="s">
        <v>4845</v>
      </c>
      <c r="B154" s="3" t="s">
        <v>6186</v>
      </c>
      <c r="C154" s="4">
        <v>1</v>
      </c>
      <c r="D154" s="5">
        <v>39.99</v>
      </c>
      <c r="E154" s="4" t="s">
        <v>6187</v>
      </c>
      <c r="F154" s="3" t="s">
        <v>5640</v>
      </c>
      <c r="G154" s="7" t="s">
        <v>5596</v>
      </c>
      <c r="H154" s="3" t="s">
        <v>6065</v>
      </c>
      <c r="I154" s="3" t="s">
        <v>6066</v>
      </c>
      <c r="J154" s="3" t="s">
        <v>5536</v>
      </c>
      <c r="K154" s="3" t="s">
        <v>5864</v>
      </c>
      <c r="L154" s="8" t="str">
        <f>HYPERLINK("http://slimages.macys.com/is/image/MCY/15554075 ")</f>
        <v xml:space="preserve">http://slimages.macys.com/is/image/MCY/15554075 </v>
      </c>
    </row>
    <row r="155" spans="1:12" ht="24.75" x14ac:dyDescent="0.25">
      <c r="A155" s="6" t="s">
        <v>4846</v>
      </c>
      <c r="B155" s="3" t="s">
        <v>6186</v>
      </c>
      <c r="C155" s="4">
        <v>1</v>
      </c>
      <c r="D155" s="5">
        <v>39.99</v>
      </c>
      <c r="E155" s="4" t="s">
        <v>6187</v>
      </c>
      <c r="F155" s="3" t="s">
        <v>5532</v>
      </c>
      <c r="G155" s="7" t="s">
        <v>5596</v>
      </c>
      <c r="H155" s="3" t="s">
        <v>6065</v>
      </c>
      <c r="I155" s="3" t="s">
        <v>6066</v>
      </c>
      <c r="J155" s="3" t="s">
        <v>5536</v>
      </c>
      <c r="K155" s="3" t="s">
        <v>5864</v>
      </c>
      <c r="L155" s="8" t="str">
        <f>HYPERLINK("http://slimages.macys.com/is/image/MCY/15554075 ")</f>
        <v xml:space="preserve">http://slimages.macys.com/is/image/MCY/15554075 </v>
      </c>
    </row>
    <row r="156" spans="1:12" ht="48.75" x14ac:dyDescent="0.25">
      <c r="A156" s="6" t="s">
        <v>4847</v>
      </c>
      <c r="B156" s="3" t="s">
        <v>4848</v>
      </c>
      <c r="C156" s="4">
        <v>1</v>
      </c>
      <c r="D156" s="5">
        <v>59.5</v>
      </c>
      <c r="E156" s="4" t="s">
        <v>4849</v>
      </c>
      <c r="F156" s="3" t="s">
        <v>6146</v>
      </c>
      <c r="G156" s="7" t="s">
        <v>5733</v>
      </c>
      <c r="H156" s="3" t="s">
        <v>5585</v>
      </c>
      <c r="I156" s="3" t="s">
        <v>5586</v>
      </c>
      <c r="J156" s="3" t="s">
        <v>5536</v>
      </c>
      <c r="K156" s="3" t="s">
        <v>4850</v>
      </c>
      <c r="L156" s="8" t="str">
        <f>HYPERLINK("http://slimages.macys.com/is/image/MCY/8143158 ")</f>
        <v xml:space="preserve">http://slimages.macys.com/is/image/MCY/8143158 </v>
      </c>
    </row>
    <row r="157" spans="1:12" x14ac:dyDescent="0.25">
      <c r="A157" s="6" t="s">
        <v>4851</v>
      </c>
      <c r="B157" s="3" t="s">
        <v>4852</v>
      </c>
      <c r="C157" s="4">
        <v>1</v>
      </c>
      <c r="D157" s="5">
        <v>39.99</v>
      </c>
      <c r="E157" s="4" t="s">
        <v>4853</v>
      </c>
      <c r="F157" s="3" t="s">
        <v>5625</v>
      </c>
      <c r="G157" s="7" t="s">
        <v>5560</v>
      </c>
      <c r="H157" s="3" t="s">
        <v>5978</v>
      </c>
      <c r="I157" s="3" t="s">
        <v>5979</v>
      </c>
      <c r="J157" s="3" t="s">
        <v>5536</v>
      </c>
      <c r="K157" s="3" t="s">
        <v>5594</v>
      </c>
      <c r="L157" s="8" t="str">
        <f>HYPERLINK("http://slimages.macys.com/is/image/MCY/14797545 ")</f>
        <v xml:space="preserve">http://slimages.macys.com/is/image/MCY/14797545 </v>
      </c>
    </row>
    <row r="158" spans="1:12" ht="24.75" x14ac:dyDescent="0.25">
      <c r="A158" s="6" t="s">
        <v>4854</v>
      </c>
      <c r="B158" s="3" t="s">
        <v>4855</v>
      </c>
      <c r="C158" s="4">
        <v>1</v>
      </c>
      <c r="D158" s="5">
        <v>39.979999999999997</v>
      </c>
      <c r="E158" s="4" t="s">
        <v>4856</v>
      </c>
      <c r="F158" s="3" t="s">
        <v>5532</v>
      </c>
      <c r="G158" s="7" t="s">
        <v>5560</v>
      </c>
      <c r="H158" s="3" t="s">
        <v>5585</v>
      </c>
      <c r="I158" s="3" t="s">
        <v>5586</v>
      </c>
      <c r="J158" s="3" t="s">
        <v>5536</v>
      </c>
      <c r="K158" s="3" t="s">
        <v>6157</v>
      </c>
      <c r="L158" s="8" t="str">
        <f>HYPERLINK("http://slimages.macys.com/is/image/MCY/8803308 ")</f>
        <v xml:space="preserve">http://slimages.macys.com/is/image/MCY/8803308 </v>
      </c>
    </row>
    <row r="159" spans="1:12" ht="24.75" x14ac:dyDescent="0.25">
      <c r="A159" s="6" t="s">
        <v>4857</v>
      </c>
      <c r="B159" s="3" t="s">
        <v>4858</v>
      </c>
      <c r="C159" s="4">
        <v>1</v>
      </c>
      <c r="D159" s="5">
        <v>45</v>
      </c>
      <c r="E159" s="4" t="s">
        <v>4859</v>
      </c>
      <c r="F159" s="3" t="s">
        <v>5532</v>
      </c>
      <c r="G159" s="7" t="s">
        <v>5560</v>
      </c>
      <c r="H159" s="3" t="s">
        <v>6019</v>
      </c>
      <c r="I159" s="3" t="s">
        <v>6020</v>
      </c>
      <c r="J159" s="3" t="s">
        <v>5536</v>
      </c>
      <c r="K159" s="3" t="s">
        <v>5594</v>
      </c>
      <c r="L159" s="8" t="str">
        <f>HYPERLINK("http://slimages.macys.com/is/image/MCY/13785793 ")</f>
        <v xml:space="preserve">http://slimages.macys.com/is/image/MCY/13785793 </v>
      </c>
    </row>
    <row r="160" spans="1:12" ht="24.75" x14ac:dyDescent="0.25">
      <c r="A160" s="6" t="s">
        <v>4860</v>
      </c>
      <c r="B160" s="3" t="s">
        <v>4858</v>
      </c>
      <c r="C160" s="4">
        <v>1</v>
      </c>
      <c r="D160" s="5">
        <v>45</v>
      </c>
      <c r="E160" s="4" t="s">
        <v>4859</v>
      </c>
      <c r="F160" s="3" t="s">
        <v>5540</v>
      </c>
      <c r="G160" s="7" t="s">
        <v>5562</v>
      </c>
      <c r="H160" s="3" t="s">
        <v>6019</v>
      </c>
      <c r="I160" s="3" t="s">
        <v>6020</v>
      </c>
      <c r="J160" s="3" t="s">
        <v>5536</v>
      </c>
      <c r="K160" s="3" t="s">
        <v>5594</v>
      </c>
      <c r="L160" s="8" t="str">
        <f>HYPERLINK("http://slimages.macys.com/is/image/MCY/15241596 ")</f>
        <v xml:space="preserve">http://slimages.macys.com/is/image/MCY/15241596 </v>
      </c>
    </row>
    <row r="161" spans="1:12" ht="24.75" x14ac:dyDescent="0.25">
      <c r="A161" s="6" t="s">
        <v>4861</v>
      </c>
      <c r="B161" s="3" t="s">
        <v>4086</v>
      </c>
      <c r="C161" s="4">
        <v>1</v>
      </c>
      <c r="D161" s="5">
        <v>34.299999999999997</v>
      </c>
      <c r="E161" s="4" t="s">
        <v>4087</v>
      </c>
      <c r="F161" s="3" t="s">
        <v>5640</v>
      </c>
      <c r="G161" s="7" t="s">
        <v>7103</v>
      </c>
      <c r="H161" s="3" t="s">
        <v>6131</v>
      </c>
      <c r="I161" s="3" t="s">
        <v>6204</v>
      </c>
      <c r="J161" s="3" t="s">
        <v>5536</v>
      </c>
      <c r="K161" s="3" t="s">
        <v>4088</v>
      </c>
      <c r="L161" s="8" t="str">
        <f>HYPERLINK("http://slimages.macys.com/is/image/MCY/14344083 ")</f>
        <v xml:space="preserve">http://slimages.macys.com/is/image/MCY/14344083 </v>
      </c>
    </row>
    <row r="162" spans="1:12" ht="24.75" x14ac:dyDescent="0.25">
      <c r="A162" s="6" t="s">
        <v>6210</v>
      </c>
      <c r="B162" s="3" t="s">
        <v>6199</v>
      </c>
      <c r="C162" s="4">
        <v>1</v>
      </c>
      <c r="D162" s="5">
        <v>30</v>
      </c>
      <c r="E162" s="4" t="s">
        <v>6200</v>
      </c>
      <c r="F162" s="3" t="s">
        <v>5540</v>
      </c>
      <c r="G162" s="7" t="s">
        <v>5533</v>
      </c>
      <c r="H162" s="3" t="s">
        <v>5842</v>
      </c>
      <c r="I162" s="3" t="s">
        <v>5843</v>
      </c>
      <c r="J162" s="3" t="s">
        <v>5536</v>
      </c>
      <c r="K162" s="3" t="s">
        <v>5727</v>
      </c>
      <c r="L162" s="8" t="str">
        <f>HYPERLINK("http://slimages.macys.com/is/image/MCY/14506440 ")</f>
        <v xml:space="preserve">http://slimages.macys.com/is/image/MCY/14506440 </v>
      </c>
    </row>
    <row r="163" spans="1:12" x14ac:dyDescent="0.25">
      <c r="A163" s="6" t="s">
        <v>4862</v>
      </c>
      <c r="B163" s="3" t="s">
        <v>4863</v>
      </c>
      <c r="C163" s="4">
        <v>1</v>
      </c>
      <c r="D163" s="5">
        <v>34.299999999999997</v>
      </c>
      <c r="E163" s="4" t="s">
        <v>4864</v>
      </c>
      <c r="F163" s="3" t="s">
        <v>5540</v>
      </c>
      <c r="G163" s="7" t="s">
        <v>7103</v>
      </c>
      <c r="H163" s="3" t="s">
        <v>6131</v>
      </c>
      <c r="I163" s="3" t="s">
        <v>6204</v>
      </c>
      <c r="J163" s="3" t="s">
        <v>5536</v>
      </c>
      <c r="K163" s="3" t="s">
        <v>6133</v>
      </c>
      <c r="L163" s="8" t="str">
        <f>HYPERLINK("http://slimages.macys.com/is/image/MCY/14392267 ")</f>
        <v xml:space="preserve">http://slimages.macys.com/is/image/MCY/14392267 </v>
      </c>
    </row>
    <row r="164" spans="1:12" x14ac:dyDescent="0.25">
      <c r="A164" s="6" t="s">
        <v>4865</v>
      </c>
      <c r="B164" s="3" t="s">
        <v>6223</v>
      </c>
      <c r="C164" s="4">
        <v>1</v>
      </c>
      <c r="D164" s="5">
        <v>39.99</v>
      </c>
      <c r="E164" s="4" t="s">
        <v>6224</v>
      </c>
      <c r="F164" s="3" t="s">
        <v>5798</v>
      </c>
      <c r="G164" s="7" t="s">
        <v>5560</v>
      </c>
      <c r="H164" s="3" t="s">
        <v>5978</v>
      </c>
      <c r="I164" s="3" t="s">
        <v>5979</v>
      </c>
      <c r="J164" s="3" t="s">
        <v>5536</v>
      </c>
      <c r="K164" s="3" t="s">
        <v>5574</v>
      </c>
      <c r="L164" s="8" t="str">
        <f>HYPERLINK("http://slimages.macys.com/is/image/MCY/13830987 ")</f>
        <v xml:space="preserve">http://slimages.macys.com/is/image/MCY/13830987 </v>
      </c>
    </row>
    <row r="165" spans="1:12" x14ac:dyDescent="0.25">
      <c r="A165" s="6" t="s">
        <v>4866</v>
      </c>
      <c r="B165" s="3" t="s">
        <v>6223</v>
      </c>
      <c r="C165" s="4">
        <v>1</v>
      </c>
      <c r="D165" s="5">
        <v>39.99</v>
      </c>
      <c r="E165" s="4" t="s">
        <v>6224</v>
      </c>
      <c r="F165" s="3" t="s">
        <v>5625</v>
      </c>
      <c r="G165" s="7" t="s">
        <v>5533</v>
      </c>
      <c r="H165" s="3" t="s">
        <v>5978</v>
      </c>
      <c r="I165" s="3" t="s">
        <v>5979</v>
      </c>
      <c r="J165" s="3" t="s">
        <v>5536</v>
      </c>
      <c r="K165" s="3" t="s">
        <v>5574</v>
      </c>
      <c r="L165" s="8" t="str">
        <f>HYPERLINK("http://slimages.macys.com/is/image/MCY/13830987 ")</f>
        <v xml:space="preserve">http://slimages.macys.com/is/image/MCY/13830987 </v>
      </c>
    </row>
    <row r="166" spans="1:12" x14ac:dyDescent="0.25">
      <c r="A166" s="6" t="s">
        <v>4867</v>
      </c>
      <c r="B166" s="3" t="s">
        <v>6223</v>
      </c>
      <c r="C166" s="4">
        <v>1</v>
      </c>
      <c r="D166" s="5">
        <v>39.99</v>
      </c>
      <c r="E166" s="4" t="s">
        <v>6224</v>
      </c>
      <c r="F166" s="3" t="s">
        <v>5625</v>
      </c>
      <c r="G166" s="7" t="s">
        <v>5560</v>
      </c>
      <c r="H166" s="3" t="s">
        <v>5978</v>
      </c>
      <c r="I166" s="3" t="s">
        <v>5979</v>
      </c>
      <c r="J166" s="3" t="s">
        <v>5536</v>
      </c>
      <c r="K166" s="3" t="s">
        <v>5574</v>
      </c>
      <c r="L166" s="8" t="str">
        <f>HYPERLINK("http://slimages.macys.com/is/image/MCY/13830987 ")</f>
        <v xml:space="preserve">http://slimages.macys.com/is/image/MCY/13830987 </v>
      </c>
    </row>
    <row r="167" spans="1:12" x14ac:dyDescent="0.25">
      <c r="A167" s="6" t="s">
        <v>4868</v>
      </c>
      <c r="B167" s="3" t="s">
        <v>6223</v>
      </c>
      <c r="C167" s="4">
        <v>1</v>
      </c>
      <c r="D167" s="5">
        <v>39.99</v>
      </c>
      <c r="E167" s="4" t="s">
        <v>6224</v>
      </c>
      <c r="F167" s="3" t="s">
        <v>5532</v>
      </c>
      <c r="G167" s="7" t="s">
        <v>5560</v>
      </c>
      <c r="H167" s="3" t="s">
        <v>5978</v>
      </c>
      <c r="I167" s="3" t="s">
        <v>5979</v>
      </c>
      <c r="J167" s="3" t="s">
        <v>5536</v>
      </c>
      <c r="K167" s="3" t="s">
        <v>5574</v>
      </c>
      <c r="L167" s="8" t="str">
        <f>HYPERLINK("http://slimages.macys.com/is/image/MCY/13830987 ")</f>
        <v xml:space="preserve">http://slimages.macys.com/is/image/MCY/13830987 </v>
      </c>
    </row>
    <row r="168" spans="1:12" ht="24.75" x14ac:dyDescent="0.25">
      <c r="A168" s="6" t="s">
        <v>4869</v>
      </c>
      <c r="B168" s="3" t="s">
        <v>4870</v>
      </c>
      <c r="C168" s="4">
        <v>1</v>
      </c>
      <c r="D168" s="5">
        <v>29.5</v>
      </c>
      <c r="E168" s="4">
        <v>100018938</v>
      </c>
      <c r="F168" s="3" t="s">
        <v>4871</v>
      </c>
      <c r="G168" s="7" t="s">
        <v>5533</v>
      </c>
      <c r="H168" s="3" t="s">
        <v>5585</v>
      </c>
      <c r="I168" s="3" t="s">
        <v>5734</v>
      </c>
      <c r="J168" s="3" t="s">
        <v>5536</v>
      </c>
      <c r="K168" s="3" t="s">
        <v>5594</v>
      </c>
      <c r="L168" s="8" t="str">
        <f>HYPERLINK("http://slimages.macys.com/is/image/MCY/9830005 ")</f>
        <v xml:space="preserve">http://slimages.macys.com/is/image/MCY/9830005 </v>
      </c>
    </row>
    <row r="169" spans="1:12" ht="36.75" x14ac:dyDescent="0.25">
      <c r="A169" s="6" t="s">
        <v>6231</v>
      </c>
      <c r="B169" s="3" t="s">
        <v>6232</v>
      </c>
      <c r="C169" s="4">
        <v>3</v>
      </c>
      <c r="D169" s="5">
        <v>90.39</v>
      </c>
      <c r="E169" s="4" t="s">
        <v>6233</v>
      </c>
      <c r="F169" s="3" t="s">
        <v>5540</v>
      </c>
      <c r="G169" s="7" t="s">
        <v>5562</v>
      </c>
      <c r="H169" s="3" t="s">
        <v>5842</v>
      </c>
      <c r="I169" s="3" t="s">
        <v>5904</v>
      </c>
      <c r="J169" s="3" t="s">
        <v>5536</v>
      </c>
      <c r="K169" s="3" t="s">
        <v>6234</v>
      </c>
      <c r="L169" s="8" t="str">
        <f>HYPERLINK("http://slimages.macys.com/is/image/MCY/14618829 ")</f>
        <v xml:space="preserve">http://slimages.macys.com/is/image/MCY/14618829 </v>
      </c>
    </row>
    <row r="170" spans="1:12" ht="36.75" x14ac:dyDescent="0.25">
      <c r="A170" s="6" t="s">
        <v>4872</v>
      </c>
      <c r="B170" s="3" t="s">
        <v>6232</v>
      </c>
      <c r="C170" s="4">
        <v>5</v>
      </c>
      <c r="D170" s="5">
        <v>150.65</v>
      </c>
      <c r="E170" s="4" t="s">
        <v>6233</v>
      </c>
      <c r="F170" s="3" t="s">
        <v>5540</v>
      </c>
      <c r="G170" s="7" t="s">
        <v>5596</v>
      </c>
      <c r="H170" s="3" t="s">
        <v>5842</v>
      </c>
      <c r="I170" s="3" t="s">
        <v>5904</v>
      </c>
      <c r="J170" s="3" t="s">
        <v>5536</v>
      </c>
      <c r="K170" s="3" t="s">
        <v>6234</v>
      </c>
      <c r="L170" s="8" t="str">
        <f>HYPERLINK("http://slimages.macys.com/is/image/MCY/14618829 ")</f>
        <v xml:space="preserve">http://slimages.macys.com/is/image/MCY/14618829 </v>
      </c>
    </row>
    <row r="171" spans="1:12" ht="24.75" x14ac:dyDescent="0.25">
      <c r="A171" s="6" t="s">
        <v>6229</v>
      </c>
      <c r="B171" s="3" t="s">
        <v>6226</v>
      </c>
      <c r="C171" s="4">
        <v>2</v>
      </c>
      <c r="D171" s="5">
        <v>60.26</v>
      </c>
      <c r="E171" s="4" t="s">
        <v>6227</v>
      </c>
      <c r="F171" s="3" t="s">
        <v>5540</v>
      </c>
      <c r="G171" s="7" t="s">
        <v>5596</v>
      </c>
      <c r="H171" s="3" t="s">
        <v>5842</v>
      </c>
      <c r="I171" s="3" t="s">
        <v>5904</v>
      </c>
      <c r="J171" s="3" t="s">
        <v>5536</v>
      </c>
      <c r="K171" s="3" t="s">
        <v>6228</v>
      </c>
      <c r="L171" s="8" t="str">
        <f>HYPERLINK("http://slimages.macys.com/is/image/MCY/14618767 ")</f>
        <v xml:space="preserve">http://slimages.macys.com/is/image/MCY/14618767 </v>
      </c>
    </row>
    <row r="172" spans="1:12" ht="24.75" x14ac:dyDescent="0.25">
      <c r="A172" s="6" t="s">
        <v>6230</v>
      </c>
      <c r="B172" s="3" t="s">
        <v>6226</v>
      </c>
      <c r="C172" s="4">
        <v>1</v>
      </c>
      <c r="D172" s="5">
        <v>30.13</v>
      </c>
      <c r="E172" s="4" t="s">
        <v>6227</v>
      </c>
      <c r="F172" s="3" t="s">
        <v>5540</v>
      </c>
      <c r="G172" s="7" t="s">
        <v>5562</v>
      </c>
      <c r="H172" s="3" t="s">
        <v>5842</v>
      </c>
      <c r="I172" s="3" t="s">
        <v>5904</v>
      </c>
      <c r="J172" s="3" t="s">
        <v>5536</v>
      </c>
      <c r="K172" s="3" t="s">
        <v>6228</v>
      </c>
      <c r="L172" s="8" t="str">
        <f>HYPERLINK("http://slimages.macys.com/is/image/MCY/14618767 ")</f>
        <v xml:space="preserve">http://slimages.macys.com/is/image/MCY/14618767 </v>
      </c>
    </row>
    <row r="173" spans="1:12" ht="36.75" x14ac:dyDescent="0.25">
      <c r="A173" s="6" t="s">
        <v>6235</v>
      </c>
      <c r="B173" s="3" t="s">
        <v>6232</v>
      </c>
      <c r="C173" s="4">
        <v>1</v>
      </c>
      <c r="D173" s="5">
        <v>30.13</v>
      </c>
      <c r="E173" s="4" t="s">
        <v>6233</v>
      </c>
      <c r="F173" s="3" t="s">
        <v>5540</v>
      </c>
      <c r="G173" s="7" t="s">
        <v>5533</v>
      </c>
      <c r="H173" s="3" t="s">
        <v>5842</v>
      </c>
      <c r="I173" s="3" t="s">
        <v>5904</v>
      </c>
      <c r="J173" s="3" t="s">
        <v>5536</v>
      </c>
      <c r="K173" s="3" t="s">
        <v>6234</v>
      </c>
      <c r="L173" s="8" t="str">
        <f>HYPERLINK("http://slimages.macys.com/is/image/MCY/14618829 ")</f>
        <v xml:space="preserve">http://slimages.macys.com/is/image/MCY/14618829 </v>
      </c>
    </row>
    <row r="174" spans="1:12" ht="24.75" x14ac:dyDescent="0.25">
      <c r="A174" s="6" t="s">
        <v>4873</v>
      </c>
      <c r="B174" s="3" t="s">
        <v>4874</v>
      </c>
      <c r="C174" s="4">
        <v>1</v>
      </c>
      <c r="D174" s="5">
        <v>40</v>
      </c>
      <c r="E174" s="4" t="s">
        <v>4875</v>
      </c>
      <c r="F174" s="3" t="s">
        <v>5540</v>
      </c>
      <c r="G174" s="7" t="s">
        <v>6626</v>
      </c>
      <c r="H174" s="3" t="s">
        <v>6019</v>
      </c>
      <c r="I174" s="3" t="s">
        <v>6020</v>
      </c>
      <c r="J174" s="3" t="s">
        <v>5536</v>
      </c>
      <c r="K174" s="3" t="s">
        <v>6021</v>
      </c>
      <c r="L174" s="8" t="str">
        <f>HYPERLINK("http://slimages.macys.com/is/image/MCY/13727818 ")</f>
        <v xml:space="preserve">http://slimages.macys.com/is/image/MCY/13727818 </v>
      </c>
    </row>
    <row r="175" spans="1:12" ht="36.75" x14ac:dyDescent="0.25">
      <c r="A175" s="6" t="s">
        <v>4876</v>
      </c>
      <c r="B175" s="3" t="s">
        <v>4877</v>
      </c>
      <c r="C175" s="4">
        <v>1</v>
      </c>
      <c r="D175" s="5">
        <v>29.5</v>
      </c>
      <c r="E175" s="4">
        <v>100081874</v>
      </c>
      <c r="F175" s="3" t="s">
        <v>5540</v>
      </c>
      <c r="G175" s="7" t="s">
        <v>5533</v>
      </c>
      <c r="H175" s="3" t="s">
        <v>5585</v>
      </c>
      <c r="I175" s="3" t="s">
        <v>5734</v>
      </c>
      <c r="J175" s="3" t="s">
        <v>5536</v>
      </c>
      <c r="K175" s="3" t="s">
        <v>4878</v>
      </c>
      <c r="L175" s="8" t="str">
        <f>HYPERLINK("http://slimages.macys.com/is/image/MCY/15891217 ")</f>
        <v xml:space="preserve">http://slimages.macys.com/is/image/MCY/15891217 </v>
      </c>
    </row>
    <row r="176" spans="1:12" x14ac:dyDescent="0.25">
      <c r="A176" s="6" t="s">
        <v>4879</v>
      </c>
      <c r="B176" s="3" t="s">
        <v>4880</v>
      </c>
      <c r="C176" s="4">
        <v>1</v>
      </c>
      <c r="D176" s="5">
        <v>37.99</v>
      </c>
      <c r="E176" s="4" t="s">
        <v>4881</v>
      </c>
      <c r="F176" s="3" t="s">
        <v>5754</v>
      </c>
      <c r="G176" s="7" t="s">
        <v>5560</v>
      </c>
      <c r="H176" s="3" t="s">
        <v>6065</v>
      </c>
      <c r="I176" s="3" t="s">
        <v>6066</v>
      </c>
      <c r="J176" s="3" t="s">
        <v>5536</v>
      </c>
      <c r="K176" s="3" t="s">
        <v>5594</v>
      </c>
      <c r="L176" s="8" t="str">
        <f>HYPERLINK("http://slimages.macys.com/is/image/MCY/13905015 ")</f>
        <v xml:space="preserve">http://slimages.macys.com/is/image/MCY/13905015 </v>
      </c>
    </row>
    <row r="177" spans="1:12" ht="24.75" x14ac:dyDescent="0.25">
      <c r="A177" s="6" t="s">
        <v>4882</v>
      </c>
      <c r="B177" s="3" t="s">
        <v>4883</v>
      </c>
      <c r="C177" s="4">
        <v>1</v>
      </c>
      <c r="D177" s="5">
        <v>27</v>
      </c>
      <c r="E177" s="4" t="s">
        <v>4884</v>
      </c>
      <c r="F177" s="3" t="s">
        <v>5540</v>
      </c>
      <c r="G177" s="7" t="s">
        <v>4885</v>
      </c>
      <c r="H177" s="3" t="s">
        <v>5825</v>
      </c>
      <c r="I177" s="3" t="s">
        <v>6265</v>
      </c>
      <c r="J177" s="3" t="s">
        <v>5536</v>
      </c>
      <c r="K177" s="3" t="s">
        <v>6266</v>
      </c>
      <c r="L177" s="8" t="str">
        <f>HYPERLINK("http://slimages.macys.com/is/image/MCY/9758457 ")</f>
        <v xml:space="preserve">http://slimages.macys.com/is/image/MCY/9758457 </v>
      </c>
    </row>
    <row r="178" spans="1:12" ht="24.75" x14ac:dyDescent="0.25">
      <c r="A178" s="6" t="s">
        <v>4886</v>
      </c>
      <c r="B178" s="3" t="s">
        <v>4887</v>
      </c>
      <c r="C178" s="4">
        <v>1</v>
      </c>
      <c r="D178" s="5">
        <v>27.99</v>
      </c>
      <c r="E178" s="4" t="s">
        <v>4888</v>
      </c>
      <c r="F178" s="3" t="s">
        <v>5793</v>
      </c>
      <c r="G178" s="7"/>
      <c r="H178" s="3" t="s">
        <v>6280</v>
      </c>
      <c r="I178" s="3" t="s">
        <v>4889</v>
      </c>
      <c r="J178" s="3" t="s">
        <v>5536</v>
      </c>
      <c r="K178" s="3" t="s">
        <v>6303</v>
      </c>
      <c r="L178" s="8" t="str">
        <f>HYPERLINK("http://slimages.macys.com/is/image/MCY/15954109 ")</f>
        <v xml:space="preserve">http://slimages.macys.com/is/image/MCY/15954109 </v>
      </c>
    </row>
    <row r="179" spans="1:12" ht="24.75" x14ac:dyDescent="0.25">
      <c r="A179" s="6" t="s">
        <v>4890</v>
      </c>
      <c r="B179" s="3" t="s">
        <v>4891</v>
      </c>
      <c r="C179" s="4">
        <v>1</v>
      </c>
      <c r="D179" s="5">
        <v>27.99</v>
      </c>
      <c r="E179" s="4" t="s">
        <v>4892</v>
      </c>
      <c r="F179" s="3" t="s">
        <v>5803</v>
      </c>
      <c r="G179" s="7"/>
      <c r="H179" s="3" t="s">
        <v>6280</v>
      </c>
      <c r="I179" s="3" t="s">
        <v>4889</v>
      </c>
      <c r="J179" s="3" t="s">
        <v>5536</v>
      </c>
      <c r="K179" s="3" t="s">
        <v>6303</v>
      </c>
      <c r="L179" s="8" t="str">
        <f>HYPERLINK("http://slimages.macys.com/is/image/MCY/13367098 ")</f>
        <v xml:space="preserve">http://slimages.macys.com/is/image/MCY/13367098 </v>
      </c>
    </row>
    <row r="180" spans="1:12" ht="24.75" x14ac:dyDescent="0.25">
      <c r="A180" s="6" t="s">
        <v>4893</v>
      </c>
      <c r="B180" s="3" t="s">
        <v>4887</v>
      </c>
      <c r="C180" s="4">
        <v>1</v>
      </c>
      <c r="D180" s="5">
        <v>27.99</v>
      </c>
      <c r="E180" s="4" t="s">
        <v>4888</v>
      </c>
      <c r="F180" s="3" t="s">
        <v>6010</v>
      </c>
      <c r="G180" s="7"/>
      <c r="H180" s="3" t="s">
        <v>6280</v>
      </c>
      <c r="I180" s="3" t="s">
        <v>4889</v>
      </c>
      <c r="J180" s="3" t="s">
        <v>5536</v>
      </c>
      <c r="K180" s="3" t="s">
        <v>6303</v>
      </c>
      <c r="L180" s="8" t="str">
        <f>HYPERLINK("http://slimages.macys.com/is/image/MCY/15954109 ")</f>
        <v xml:space="preserve">http://slimages.macys.com/is/image/MCY/15954109 </v>
      </c>
    </row>
    <row r="181" spans="1:12" ht="24.75" x14ac:dyDescent="0.25">
      <c r="A181" s="6" t="s">
        <v>4894</v>
      </c>
      <c r="B181" s="3" t="s">
        <v>4895</v>
      </c>
      <c r="C181" s="4">
        <v>1</v>
      </c>
      <c r="D181" s="5">
        <v>27.99</v>
      </c>
      <c r="E181" s="4" t="s">
        <v>4896</v>
      </c>
      <c r="F181" s="3" t="s">
        <v>6010</v>
      </c>
      <c r="G181" s="7"/>
      <c r="H181" s="3" t="s">
        <v>6280</v>
      </c>
      <c r="I181" s="3" t="s">
        <v>4889</v>
      </c>
      <c r="J181" s="3" t="s">
        <v>5536</v>
      </c>
      <c r="K181" s="3" t="s">
        <v>6332</v>
      </c>
      <c r="L181" s="8" t="str">
        <f>HYPERLINK("http://slimages.macys.com/is/image/MCY/9987159 ")</f>
        <v xml:space="preserve">http://slimages.macys.com/is/image/MCY/9987159 </v>
      </c>
    </row>
    <row r="182" spans="1:12" ht="24.75" x14ac:dyDescent="0.25">
      <c r="A182" s="6" t="s">
        <v>4897</v>
      </c>
      <c r="B182" s="3" t="s">
        <v>4898</v>
      </c>
      <c r="C182" s="4">
        <v>3</v>
      </c>
      <c r="D182" s="5">
        <v>83.97</v>
      </c>
      <c r="E182" s="4" t="s">
        <v>4899</v>
      </c>
      <c r="F182" s="3" t="s">
        <v>5610</v>
      </c>
      <c r="G182" s="7"/>
      <c r="H182" s="3" t="s">
        <v>6280</v>
      </c>
      <c r="I182" s="3" t="s">
        <v>4889</v>
      </c>
      <c r="J182" s="3" t="s">
        <v>5536</v>
      </c>
      <c r="K182" s="3" t="s">
        <v>4900</v>
      </c>
      <c r="L182" s="8" t="str">
        <f>HYPERLINK("http://slimages.macys.com/is/image/MCY/8748468 ")</f>
        <v xml:space="preserve">http://slimages.macys.com/is/image/MCY/8748468 </v>
      </c>
    </row>
    <row r="183" spans="1:12" ht="24.75" x14ac:dyDescent="0.25">
      <c r="A183" s="6" t="s">
        <v>4901</v>
      </c>
      <c r="B183" s="3" t="s">
        <v>4902</v>
      </c>
      <c r="C183" s="4">
        <v>1</v>
      </c>
      <c r="D183" s="5">
        <v>27.99</v>
      </c>
      <c r="E183" s="4" t="s">
        <v>4903</v>
      </c>
      <c r="F183" s="3" t="s">
        <v>5815</v>
      </c>
      <c r="G183" s="7"/>
      <c r="H183" s="3" t="s">
        <v>6280</v>
      </c>
      <c r="I183" s="3" t="s">
        <v>4889</v>
      </c>
      <c r="J183" s="3" t="s">
        <v>5536</v>
      </c>
      <c r="K183" s="3" t="s">
        <v>6303</v>
      </c>
      <c r="L183" s="8" t="str">
        <f>HYPERLINK("http://slimages.macys.com/is/image/MCY/9089086 ")</f>
        <v xml:space="preserve">http://slimages.macys.com/is/image/MCY/9089086 </v>
      </c>
    </row>
    <row r="184" spans="1:12" ht="24.75" x14ac:dyDescent="0.25">
      <c r="A184" s="6" t="s">
        <v>4904</v>
      </c>
      <c r="B184" s="3" t="s">
        <v>4905</v>
      </c>
      <c r="C184" s="4">
        <v>1</v>
      </c>
      <c r="D184" s="5">
        <v>27.99</v>
      </c>
      <c r="E184" s="4" t="s">
        <v>4906</v>
      </c>
      <c r="F184" s="3" t="s">
        <v>6983</v>
      </c>
      <c r="G184" s="7"/>
      <c r="H184" s="3" t="s">
        <v>6280</v>
      </c>
      <c r="I184" s="3" t="s">
        <v>4889</v>
      </c>
      <c r="J184" s="3" t="s">
        <v>5536</v>
      </c>
      <c r="K184" s="3" t="s">
        <v>6316</v>
      </c>
      <c r="L184" s="8" t="str">
        <f>HYPERLINK("http://slimages.macys.com/is/image/MCY/15954226 ")</f>
        <v xml:space="preserve">http://slimages.macys.com/is/image/MCY/15954226 </v>
      </c>
    </row>
    <row r="185" spans="1:12" ht="24.75" x14ac:dyDescent="0.25">
      <c r="A185" s="6" t="s">
        <v>4907</v>
      </c>
      <c r="B185" s="3" t="s">
        <v>4908</v>
      </c>
      <c r="C185" s="4">
        <v>2</v>
      </c>
      <c r="D185" s="5">
        <v>55.98</v>
      </c>
      <c r="E185" s="4" t="s">
        <v>4909</v>
      </c>
      <c r="F185" s="3" t="s">
        <v>5793</v>
      </c>
      <c r="G185" s="7"/>
      <c r="H185" s="3" t="s">
        <v>6280</v>
      </c>
      <c r="I185" s="3" t="s">
        <v>4889</v>
      </c>
      <c r="J185" s="3" t="s">
        <v>5536</v>
      </c>
      <c r="K185" s="3" t="s">
        <v>6316</v>
      </c>
      <c r="L185" s="8" t="str">
        <f>HYPERLINK("http://slimages.macys.com/is/image/MCY/15954252 ")</f>
        <v xml:space="preserve">http://slimages.macys.com/is/image/MCY/15954252 </v>
      </c>
    </row>
    <row r="186" spans="1:12" ht="24.75" x14ac:dyDescent="0.25">
      <c r="A186" s="6" t="s">
        <v>4910</v>
      </c>
      <c r="B186" s="3" t="s">
        <v>4911</v>
      </c>
      <c r="C186" s="4">
        <v>1</v>
      </c>
      <c r="D186" s="5">
        <v>27.99</v>
      </c>
      <c r="E186" s="4" t="s">
        <v>4912</v>
      </c>
      <c r="F186" s="3" t="s">
        <v>6335</v>
      </c>
      <c r="G186" s="7"/>
      <c r="H186" s="3" t="s">
        <v>6280</v>
      </c>
      <c r="I186" s="3" t="s">
        <v>4889</v>
      </c>
      <c r="J186" s="3" t="s">
        <v>5536</v>
      </c>
      <c r="K186" s="3" t="s">
        <v>6303</v>
      </c>
      <c r="L186" s="8" t="str">
        <f>HYPERLINK("http://slimages.macys.com/is/image/MCY/10923579 ")</f>
        <v xml:space="preserve">http://slimages.macys.com/is/image/MCY/10923579 </v>
      </c>
    </row>
    <row r="187" spans="1:12" ht="24.75" x14ac:dyDescent="0.25">
      <c r="A187" s="6" t="s">
        <v>4913</v>
      </c>
      <c r="B187" s="3" t="s">
        <v>4905</v>
      </c>
      <c r="C187" s="4">
        <v>2</v>
      </c>
      <c r="D187" s="5">
        <v>55.98</v>
      </c>
      <c r="E187" s="4" t="s">
        <v>4906</v>
      </c>
      <c r="F187" s="3" t="s">
        <v>6335</v>
      </c>
      <c r="G187" s="7"/>
      <c r="H187" s="3" t="s">
        <v>6280</v>
      </c>
      <c r="I187" s="3" t="s">
        <v>4889</v>
      </c>
      <c r="J187" s="3" t="s">
        <v>5536</v>
      </c>
      <c r="K187" s="3" t="s">
        <v>6316</v>
      </c>
      <c r="L187" s="8" t="str">
        <f>HYPERLINK("http://slimages.macys.com/is/image/MCY/15954226 ")</f>
        <v xml:space="preserve">http://slimages.macys.com/is/image/MCY/15954226 </v>
      </c>
    </row>
    <row r="188" spans="1:12" ht="24.75" x14ac:dyDescent="0.25">
      <c r="A188" s="6" t="s">
        <v>4914</v>
      </c>
      <c r="B188" s="3" t="s">
        <v>4915</v>
      </c>
      <c r="C188" s="4">
        <v>2</v>
      </c>
      <c r="D188" s="5">
        <v>55.98</v>
      </c>
      <c r="E188" s="4" t="s">
        <v>4903</v>
      </c>
      <c r="F188" s="3" t="s">
        <v>6275</v>
      </c>
      <c r="G188" s="7"/>
      <c r="H188" s="3" t="s">
        <v>6280</v>
      </c>
      <c r="I188" s="3" t="s">
        <v>4889</v>
      </c>
      <c r="J188" s="3" t="s">
        <v>5536</v>
      </c>
      <c r="K188" s="3" t="s">
        <v>6303</v>
      </c>
      <c r="L188" s="8" t="str">
        <f>HYPERLINK("http://slimages.macys.com/is/image/MCY/9089086 ")</f>
        <v xml:space="preserve">http://slimages.macys.com/is/image/MCY/9089086 </v>
      </c>
    </row>
    <row r="189" spans="1:12" ht="24.75" x14ac:dyDescent="0.25">
      <c r="A189" s="6" t="s">
        <v>4916</v>
      </c>
      <c r="B189" s="3" t="s">
        <v>4917</v>
      </c>
      <c r="C189" s="4">
        <v>2</v>
      </c>
      <c r="D189" s="5">
        <v>55.98</v>
      </c>
      <c r="E189" s="4" t="s">
        <v>4918</v>
      </c>
      <c r="F189" s="3" t="s">
        <v>6010</v>
      </c>
      <c r="G189" s="7"/>
      <c r="H189" s="3" t="s">
        <v>6280</v>
      </c>
      <c r="I189" s="3" t="s">
        <v>4889</v>
      </c>
      <c r="J189" s="3" t="s">
        <v>5536</v>
      </c>
      <c r="K189" s="3" t="s">
        <v>6338</v>
      </c>
      <c r="L189" s="8" t="str">
        <f>HYPERLINK("http://slimages.macys.com/is/image/MCY/15954123 ")</f>
        <v xml:space="preserve">http://slimages.macys.com/is/image/MCY/15954123 </v>
      </c>
    </row>
    <row r="190" spans="1:12" ht="24.75" x14ac:dyDescent="0.25">
      <c r="A190" s="6" t="s">
        <v>4919</v>
      </c>
      <c r="B190" s="3" t="s">
        <v>4920</v>
      </c>
      <c r="C190" s="4">
        <v>2</v>
      </c>
      <c r="D190" s="5">
        <v>55.98</v>
      </c>
      <c r="E190" s="4" t="s">
        <v>4921</v>
      </c>
      <c r="F190" s="3" t="s">
        <v>5754</v>
      </c>
      <c r="G190" s="7"/>
      <c r="H190" s="3" t="s">
        <v>6280</v>
      </c>
      <c r="I190" s="3" t="s">
        <v>4889</v>
      </c>
      <c r="J190" s="3" t="s">
        <v>5536</v>
      </c>
      <c r="K190" s="3" t="s">
        <v>6303</v>
      </c>
      <c r="L190" s="8" t="str">
        <f>HYPERLINK("http://slimages.macys.com/is/image/MCY/10411501 ")</f>
        <v xml:space="preserve">http://slimages.macys.com/is/image/MCY/10411501 </v>
      </c>
    </row>
    <row r="191" spans="1:12" ht="24.75" x14ac:dyDescent="0.25">
      <c r="A191" s="6" t="s">
        <v>4922</v>
      </c>
      <c r="B191" s="3" t="s">
        <v>4923</v>
      </c>
      <c r="C191" s="4">
        <v>1</v>
      </c>
      <c r="D191" s="5">
        <v>27.99</v>
      </c>
      <c r="E191" s="4" t="s">
        <v>4924</v>
      </c>
      <c r="F191" s="3" t="s">
        <v>5754</v>
      </c>
      <c r="G191" s="7"/>
      <c r="H191" s="3" t="s">
        <v>6280</v>
      </c>
      <c r="I191" s="3" t="s">
        <v>4889</v>
      </c>
      <c r="J191" s="3" t="s">
        <v>5536</v>
      </c>
      <c r="K191" s="3" t="s">
        <v>6303</v>
      </c>
      <c r="L191" s="8" t="str">
        <f>HYPERLINK("http://slimages.macys.com/is/image/MCY/9088385 ")</f>
        <v xml:space="preserve">http://slimages.macys.com/is/image/MCY/9088385 </v>
      </c>
    </row>
    <row r="192" spans="1:12" ht="24.75" x14ac:dyDescent="0.25">
      <c r="A192" s="6" t="s">
        <v>4925</v>
      </c>
      <c r="B192" s="3" t="s">
        <v>4926</v>
      </c>
      <c r="C192" s="4">
        <v>1</v>
      </c>
      <c r="D192" s="5">
        <v>27.99</v>
      </c>
      <c r="E192" s="4" t="s">
        <v>4927</v>
      </c>
      <c r="F192" s="3" t="s">
        <v>5661</v>
      </c>
      <c r="G192" s="7"/>
      <c r="H192" s="3" t="s">
        <v>6280</v>
      </c>
      <c r="I192" s="3" t="s">
        <v>4889</v>
      </c>
      <c r="J192" s="3" t="s">
        <v>5536</v>
      </c>
      <c r="K192" s="3" t="s">
        <v>6295</v>
      </c>
      <c r="L192" s="8" t="str">
        <f>HYPERLINK("http://slimages.macys.com/is/image/MCY/15420079 ")</f>
        <v xml:space="preserve">http://slimages.macys.com/is/image/MCY/15420079 </v>
      </c>
    </row>
    <row r="193" spans="1:12" ht="24.75" x14ac:dyDescent="0.25">
      <c r="A193" s="6" t="s">
        <v>4928</v>
      </c>
      <c r="B193" s="3" t="s">
        <v>4929</v>
      </c>
      <c r="C193" s="4">
        <v>2</v>
      </c>
      <c r="D193" s="5">
        <v>55.98</v>
      </c>
      <c r="E193" s="4" t="s">
        <v>4930</v>
      </c>
      <c r="F193" s="3" t="s">
        <v>6496</v>
      </c>
      <c r="G193" s="7"/>
      <c r="H193" s="3" t="s">
        <v>6280</v>
      </c>
      <c r="I193" s="3" t="s">
        <v>4889</v>
      </c>
      <c r="J193" s="3" t="s">
        <v>5536</v>
      </c>
      <c r="K193" s="3" t="s">
        <v>6303</v>
      </c>
      <c r="L193" s="8" t="str">
        <f>HYPERLINK("http://slimages.macys.com/is/image/MCY/9088552 ")</f>
        <v xml:space="preserve">http://slimages.macys.com/is/image/MCY/9088552 </v>
      </c>
    </row>
    <row r="194" spans="1:12" ht="24.75" x14ac:dyDescent="0.25">
      <c r="A194" s="6" t="s">
        <v>4931</v>
      </c>
      <c r="B194" s="3" t="s">
        <v>4891</v>
      </c>
      <c r="C194" s="4">
        <v>1</v>
      </c>
      <c r="D194" s="5">
        <v>27.99</v>
      </c>
      <c r="E194" s="4" t="s">
        <v>4892</v>
      </c>
      <c r="F194" s="3" t="s">
        <v>5604</v>
      </c>
      <c r="G194" s="7"/>
      <c r="H194" s="3" t="s">
        <v>6280</v>
      </c>
      <c r="I194" s="3" t="s">
        <v>4889</v>
      </c>
      <c r="J194" s="3" t="s">
        <v>5536</v>
      </c>
      <c r="K194" s="3" t="s">
        <v>6303</v>
      </c>
      <c r="L194" s="8" t="str">
        <f>HYPERLINK("http://slimages.macys.com/is/image/MCY/13367098 ")</f>
        <v xml:space="preserve">http://slimages.macys.com/is/image/MCY/13367098 </v>
      </c>
    </row>
    <row r="195" spans="1:12" ht="24.75" x14ac:dyDescent="0.25">
      <c r="A195" s="6" t="s">
        <v>4932</v>
      </c>
      <c r="B195" s="3" t="s">
        <v>4920</v>
      </c>
      <c r="C195" s="4">
        <v>1</v>
      </c>
      <c r="D195" s="5">
        <v>27.99</v>
      </c>
      <c r="E195" s="4" t="s">
        <v>4921</v>
      </c>
      <c r="F195" s="3" t="s">
        <v>5803</v>
      </c>
      <c r="G195" s="7"/>
      <c r="H195" s="3" t="s">
        <v>6280</v>
      </c>
      <c r="I195" s="3" t="s">
        <v>4889</v>
      </c>
      <c r="J195" s="3" t="s">
        <v>5536</v>
      </c>
      <c r="K195" s="3" t="s">
        <v>6303</v>
      </c>
      <c r="L195" s="8" t="str">
        <f>HYPERLINK("http://slimages.macys.com/is/image/MCY/10411501 ")</f>
        <v xml:space="preserve">http://slimages.macys.com/is/image/MCY/10411501 </v>
      </c>
    </row>
    <row r="196" spans="1:12" ht="24.75" x14ac:dyDescent="0.25">
      <c r="A196" s="6" t="s">
        <v>4933</v>
      </c>
      <c r="B196" s="3" t="s">
        <v>4895</v>
      </c>
      <c r="C196" s="4">
        <v>1</v>
      </c>
      <c r="D196" s="5">
        <v>27.99</v>
      </c>
      <c r="E196" s="4" t="s">
        <v>4896</v>
      </c>
      <c r="F196" s="3" t="s">
        <v>5803</v>
      </c>
      <c r="G196" s="7"/>
      <c r="H196" s="3" t="s">
        <v>6280</v>
      </c>
      <c r="I196" s="3" t="s">
        <v>4889</v>
      </c>
      <c r="J196" s="3" t="s">
        <v>5536</v>
      </c>
      <c r="K196" s="3" t="s">
        <v>6332</v>
      </c>
      <c r="L196" s="8" t="str">
        <f>HYPERLINK("http://slimages.macys.com/is/image/MCY/9987159 ")</f>
        <v xml:space="preserve">http://slimages.macys.com/is/image/MCY/9987159 </v>
      </c>
    </row>
    <row r="197" spans="1:12" ht="24.75" x14ac:dyDescent="0.25">
      <c r="A197" s="6" t="s">
        <v>4934</v>
      </c>
      <c r="B197" s="3" t="s">
        <v>4935</v>
      </c>
      <c r="C197" s="4">
        <v>1</v>
      </c>
      <c r="D197" s="5">
        <v>27.99</v>
      </c>
      <c r="E197" s="4" t="s">
        <v>4936</v>
      </c>
      <c r="F197" s="3" t="s">
        <v>5540</v>
      </c>
      <c r="G197" s="7"/>
      <c r="H197" s="3" t="s">
        <v>6280</v>
      </c>
      <c r="I197" s="3" t="s">
        <v>4889</v>
      </c>
      <c r="J197" s="3" t="s">
        <v>5536</v>
      </c>
      <c r="K197" s="3" t="s">
        <v>6303</v>
      </c>
      <c r="L197" s="8" t="str">
        <f>HYPERLINK("http://slimages.macys.com/is/image/MCY/15420114 ")</f>
        <v xml:space="preserve">http://slimages.macys.com/is/image/MCY/15420114 </v>
      </c>
    </row>
    <row r="198" spans="1:12" ht="24.75" x14ac:dyDescent="0.25">
      <c r="A198" s="6" t="s">
        <v>4937</v>
      </c>
      <c r="B198" s="3" t="s">
        <v>4938</v>
      </c>
      <c r="C198" s="4">
        <v>3</v>
      </c>
      <c r="D198" s="5">
        <v>83.97</v>
      </c>
      <c r="E198" s="4" t="s">
        <v>4903</v>
      </c>
      <c r="F198" s="3" t="s">
        <v>5754</v>
      </c>
      <c r="G198" s="7"/>
      <c r="H198" s="3" t="s">
        <v>6280</v>
      </c>
      <c r="I198" s="3" t="s">
        <v>4889</v>
      </c>
      <c r="J198" s="3" t="s">
        <v>5536</v>
      </c>
      <c r="K198" s="3" t="s">
        <v>6303</v>
      </c>
      <c r="L198" s="8" t="str">
        <f>HYPERLINK("http://slimages.macys.com/is/image/MCY/9089086 ")</f>
        <v xml:space="preserve">http://slimages.macys.com/is/image/MCY/9089086 </v>
      </c>
    </row>
    <row r="199" spans="1:12" ht="24.75" x14ac:dyDescent="0.25">
      <c r="A199" s="6" t="s">
        <v>4939</v>
      </c>
      <c r="B199" s="3" t="s">
        <v>4917</v>
      </c>
      <c r="C199" s="4">
        <v>2</v>
      </c>
      <c r="D199" s="5">
        <v>55.98</v>
      </c>
      <c r="E199" s="4" t="s">
        <v>4918</v>
      </c>
      <c r="F199" s="3" t="s">
        <v>5793</v>
      </c>
      <c r="G199" s="7"/>
      <c r="H199" s="3" t="s">
        <v>6280</v>
      </c>
      <c r="I199" s="3" t="s">
        <v>4889</v>
      </c>
      <c r="J199" s="3" t="s">
        <v>5536</v>
      </c>
      <c r="K199" s="3" t="s">
        <v>6338</v>
      </c>
      <c r="L199" s="8" t="str">
        <f>HYPERLINK("http://slimages.macys.com/is/image/MCY/15954123 ")</f>
        <v xml:space="preserve">http://slimages.macys.com/is/image/MCY/15954123 </v>
      </c>
    </row>
    <row r="200" spans="1:12" ht="24.75" x14ac:dyDescent="0.25">
      <c r="A200" s="6" t="s">
        <v>4940</v>
      </c>
      <c r="B200" s="3" t="s">
        <v>4941</v>
      </c>
      <c r="C200" s="4">
        <v>1</v>
      </c>
      <c r="D200" s="5">
        <v>27.99</v>
      </c>
      <c r="E200" s="4" t="s">
        <v>4942</v>
      </c>
      <c r="F200" s="3" t="s">
        <v>5815</v>
      </c>
      <c r="G200" s="7"/>
      <c r="H200" s="3" t="s">
        <v>6280</v>
      </c>
      <c r="I200" s="3" t="s">
        <v>4889</v>
      </c>
      <c r="J200" s="3" t="s">
        <v>5536</v>
      </c>
      <c r="K200" s="3" t="s">
        <v>4943</v>
      </c>
      <c r="L200" s="8" t="str">
        <f>HYPERLINK("http://slimages.macys.com/is/image/MCY/16067012 ")</f>
        <v xml:space="preserve">http://slimages.macys.com/is/image/MCY/16067012 </v>
      </c>
    </row>
    <row r="201" spans="1:12" x14ac:dyDescent="0.25">
      <c r="A201" s="6" t="s">
        <v>4944</v>
      </c>
      <c r="B201" s="3" t="s">
        <v>4945</v>
      </c>
      <c r="C201" s="4">
        <v>1</v>
      </c>
      <c r="D201" s="5">
        <v>29.5</v>
      </c>
      <c r="E201" s="4">
        <v>100081871</v>
      </c>
      <c r="F201" s="3" t="s">
        <v>5783</v>
      </c>
      <c r="G201" s="7" t="s">
        <v>5596</v>
      </c>
      <c r="H201" s="3" t="s">
        <v>5585</v>
      </c>
      <c r="I201" s="3" t="s">
        <v>5734</v>
      </c>
      <c r="J201" s="3" t="s">
        <v>5536</v>
      </c>
      <c r="K201" s="3" t="s">
        <v>5574</v>
      </c>
      <c r="L201" s="8" t="str">
        <f>HYPERLINK("http://slimages.macys.com/is/image/MCY/15667304 ")</f>
        <v xml:space="preserve">http://slimages.macys.com/is/image/MCY/15667304 </v>
      </c>
    </row>
    <row r="202" spans="1:12" ht="24.75" x14ac:dyDescent="0.25">
      <c r="A202" s="6" t="s">
        <v>4946</v>
      </c>
      <c r="B202" s="3" t="s">
        <v>4947</v>
      </c>
      <c r="C202" s="4">
        <v>1</v>
      </c>
      <c r="D202" s="5">
        <v>25</v>
      </c>
      <c r="E202" s="4" t="s">
        <v>4948</v>
      </c>
      <c r="F202" s="3" t="s">
        <v>5661</v>
      </c>
      <c r="G202" s="7"/>
      <c r="H202" s="3" t="s">
        <v>5825</v>
      </c>
      <c r="I202" s="3" t="s">
        <v>6265</v>
      </c>
      <c r="J202" s="3" t="s">
        <v>5536</v>
      </c>
      <c r="K202" s="3" t="s">
        <v>6266</v>
      </c>
      <c r="L202" s="8" t="str">
        <f>HYPERLINK("http://slimages.macys.com/is/image/MCY/9870334 ")</f>
        <v xml:space="preserve">http://slimages.macys.com/is/image/MCY/9870334 </v>
      </c>
    </row>
    <row r="203" spans="1:12" ht="24.75" x14ac:dyDescent="0.25">
      <c r="A203" s="6" t="s">
        <v>4949</v>
      </c>
      <c r="B203" s="3" t="s">
        <v>4947</v>
      </c>
      <c r="C203" s="4">
        <v>1</v>
      </c>
      <c r="D203" s="5">
        <v>25</v>
      </c>
      <c r="E203" s="4" t="s">
        <v>4948</v>
      </c>
      <c r="F203" s="3" t="s">
        <v>5661</v>
      </c>
      <c r="G203" s="7"/>
      <c r="H203" s="3" t="s">
        <v>5825</v>
      </c>
      <c r="I203" s="3" t="s">
        <v>6265</v>
      </c>
      <c r="J203" s="3" t="s">
        <v>5536</v>
      </c>
      <c r="K203" s="3" t="s">
        <v>6266</v>
      </c>
      <c r="L203" s="8" t="str">
        <f>HYPERLINK("http://slimages.macys.com/is/image/MCY/9870334 ")</f>
        <v xml:space="preserve">http://slimages.macys.com/is/image/MCY/9870334 </v>
      </c>
    </row>
    <row r="204" spans="1:12" x14ac:dyDescent="0.25">
      <c r="A204" s="6" t="s">
        <v>4950</v>
      </c>
      <c r="B204" s="3" t="s">
        <v>4945</v>
      </c>
      <c r="C204" s="4">
        <v>1</v>
      </c>
      <c r="D204" s="5">
        <v>29.5</v>
      </c>
      <c r="E204" s="4">
        <v>100081871</v>
      </c>
      <c r="F204" s="3" t="s">
        <v>5783</v>
      </c>
      <c r="G204" s="7" t="s">
        <v>5562</v>
      </c>
      <c r="H204" s="3" t="s">
        <v>5585</v>
      </c>
      <c r="I204" s="3" t="s">
        <v>5734</v>
      </c>
      <c r="J204" s="3" t="s">
        <v>5536</v>
      </c>
      <c r="K204" s="3" t="s">
        <v>5574</v>
      </c>
      <c r="L204" s="8" t="str">
        <f>HYPERLINK("http://slimages.macys.com/is/image/MCY/15667304 ")</f>
        <v xml:space="preserve">http://slimages.macys.com/is/image/MCY/15667304 </v>
      </c>
    </row>
    <row r="205" spans="1:12" x14ac:dyDescent="0.25">
      <c r="A205" s="6" t="s">
        <v>4951</v>
      </c>
      <c r="B205" s="3" t="s">
        <v>4945</v>
      </c>
      <c r="C205" s="4">
        <v>1</v>
      </c>
      <c r="D205" s="5">
        <v>29.5</v>
      </c>
      <c r="E205" s="4">
        <v>100081871</v>
      </c>
      <c r="F205" s="3" t="s">
        <v>5783</v>
      </c>
      <c r="G205" s="7" t="s">
        <v>5533</v>
      </c>
      <c r="H205" s="3" t="s">
        <v>5585</v>
      </c>
      <c r="I205" s="3" t="s">
        <v>5734</v>
      </c>
      <c r="J205" s="3" t="s">
        <v>5536</v>
      </c>
      <c r="K205" s="3" t="s">
        <v>5574</v>
      </c>
      <c r="L205" s="8" t="str">
        <f>HYPERLINK("http://slimages.macys.com/is/image/MCY/15667304 ")</f>
        <v xml:space="preserve">http://slimages.macys.com/is/image/MCY/15667304 </v>
      </c>
    </row>
    <row r="206" spans="1:12" ht="24.75" x14ac:dyDescent="0.25">
      <c r="A206" s="6" t="s">
        <v>4952</v>
      </c>
      <c r="B206" s="3" t="s">
        <v>6263</v>
      </c>
      <c r="C206" s="4">
        <v>1</v>
      </c>
      <c r="D206" s="5">
        <v>25.5</v>
      </c>
      <c r="E206" s="4" t="s">
        <v>6264</v>
      </c>
      <c r="F206" s="3" t="s">
        <v>5578</v>
      </c>
      <c r="G206" s="7"/>
      <c r="H206" s="3" t="s">
        <v>5825</v>
      </c>
      <c r="I206" s="3" t="s">
        <v>6265</v>
      </c>
      <c r="J206" s="3" t="s">
        <v>5536</v>
      </c>
      <c r="K206" s="3" t="s">
        <v>6266</v>
      </c>
      <c r="L206" s="8" t="str">
        <f>HYPERLINK("http://slimages.macys.com/is/image/MCY/11518029 ")</f>
        <v xml:space="preserve">http://slimages.macys.com/is/image/MCY/11518029 </v>
      </c>
    </row>
    <row r="207" spans="1:12" ht="24.75" x14ac:dyDescent="0.25">
      <c r="A207" s="6" t="s">
        <v>6262</v>
      </c>
      <c r="B207" s="3" t="s">
        <v>6263</v>
      </c>
      <c r="C207" s="4">
        <v>1</v>
      </c>
      <c r="D207" s="5">
        <v>25.5</v>
      </c>
      <c r="E207" s="4" t="s">
        <v>6264</v>
      </c>
      <c r="F207" s="3" t="s">
        <v>5578</v>
      </c>
      <c r="G207" s="7"/>
      <c r="H207" s="3" t="s">
        <v>5825</v>
      </c>
      <c r="I207" s="3" t="s">
        <v>6265</v>
      </c>
      <c r="J207" s="3" t="s">
        <v>5536</v>
      </c>
      <c r="K207" s="3" t="s">
        <v>6266</v>
      </c>
      <c r="L207" s="8" t="str">
        <f>HYPERLINK("http://slimages.macys.com/is/image/MCY/11518029 ")</f>
        <v xml:space="preserve">http://slimages.macys.com/is/image/MCY/11518029 </v>
      </c>
    </row>
    <row r="208" spans="1:12" ht="24.75" x14ac:dyDescent="0.25">
      <c r="A208" s="6" t="s">
        <v>4953</v>
      </c>
      <c r="B208" s="3" t="s">
        <v>6263</v>
      </c>
      <c r="C208" s="4">
        <v>1</v>
      </c>
      <c r="D208" s="5">
        <v>25.5</v>
      </c>
      <c r="E208" s="4" t="s">
        <v>6264</v>
      </c>
      <c r="F208" s="3" t="s">
        <v>5578</v>
      </c>
      <c r="G208" s="7"/>
      <c r="H208" s="3" t="s">
        <v>5825</v>
      </c>
      <c r="I208" s="3" t="s">
        <v>6265</v>
      </c>
      <c r="J208" s="3" t="s">
        <v>5536</v>
      </c>
      <c r="K208" s="3" t="s">
        <v>6266</v>
      </c>
      <c r="L208" s="8" t="str">
        <f>HYPERLINK("http://slimages.macys.com/is/image/MCY/11518029 ")</f>
        <v xml:space="preserve">http://slimages.macys.com/is/image/MCY/11518029 </v>
      </c>
    </row>
    <row r="209" spans="1:12" x14ac:dyDescent="0.25">
      <c r="A209" s="6" t="s">
        <v>4954</v>
      </c>
      <c r="B209" s="3" t="s">
        <v>4955</v>
      </c>
      <c r="C209" s="4">
        <v>1</v>
      </c>
      <c r="D209" s="5">
        <v>39.99</v>
      </c>
      <c r="E209" s="4" t="s">
        <v>4956</v>
      </c>
      <c r="F209" s="3" t="s">
        <v>5745</v>
      </c>
      <c r="G209" s="7" t="s">
        <v>5560</v>
      </c>
      <c r="H209" s="3" t="s">
        <v>5978</v>
      </c>
      <c r="I209" s="3" t="s">
        <v>5979</v>
      </c>
      <c r="J209" s="3" t="s">
        <v>5536</v>
      </c>
      <c r="K209" s="3" t="s">
        <v>5574</v>
      </c>
      <c r="L209" s="8" t="str">
        <f>HYPERLINK("http://slimages.macys.com/is/image/MCY/13830987 ")</f>
        <v xml:space="preserve">http://slimages.macys.com/is/image/MCY/13830987 </v>
      </c>
    </row>
    <row r="210" spans="1:12" x14ac:dyDescent="0.25">
      <c r="A210" s="6" t="s">
        <v>4957</v>
      </c>
      <c r="B210" s="3" t="s">
        <v>4955</v>
      </c>
      <c r="C210" s="4">
        <v>1</v>
      </c>
      <c r="D210" s="5">
        <v>39.99</v>
      </c>
      <c r="E210" s="4" t="s">
        <v>4956</v>
      </c>
      <c r="F210" s="3" t="s">
        <v>5745</v>
      </c>
      <c r="G210" s="7" t="s">
        <v>5582</v>
      </c>
      <c r="H210" s="3" t="s">
        <v>5978</v>
      </c>
      <c r="I210" s="3" t="s">
        <v>5979</v>
      </c>
      <c r="J210" s="3" t="s">
        <v>5536</v>
      </c>
      <c r="K210" s="3" t="s">
        <v>5574</v>
      </c>
      <c r="L210" s="8" t="str">
        <f>HYPERLINK("http://slimages.macys.com/is/image/MCY/13830987 ")</f>
        <v xml:space="preserve">http://slimages.macys.com/is/image/MCY/13830987 </v>
      </c>
    </row>
    <row r="211" spans="1:12" x14ac:dyDescent="0.25">
      <c r="A211" s="6" t="s">
        <v>4958</v>
      </c>
      <c r="B211" s="3" t="s">
        <v>4955</v>
      </c>
      <c r="C211" s="4">
        <v>1</v>
      </c>
      <c r="D211" s="5">
        <v>39.99</v>
      </c>
      <c r="E211" s="4" t="s">
        <v>4956</v>
      </c>
      <c r="F211" s="3" t="s">
        <v>5745</v>
      </c>
      <c r="G211" s="7" t="s">
        <v>5562</v>
      </c>
      <c r="H211" s="3" t="s">
        <v>5978</v>
      </c>
      <c r="I211" s="3" t="s">
        <v>5979</v>
      </c>
      <c r="J211" s="3" t="s">
        <v>5536</v>
      </c>
      <c r="K211" s="3" t="s">
        <v>5574</v>
      </c>
      <c r="L211" s="8" t="str">
        <f>HYPERLINK("http://slimages.macys.com/is/image/MCY/13830987 ")</f>
        <v xml:space="preserve">http://slimages.macys.com/is/image/MCY/13830987 </v>
      </c>
    </row>
    <row r="212" spans="1:12" x14ac:dyDescent="0.25">
      <c r="A212" s="6" t="s">
        <v>4959</v>
      </c>
      <c r="B212" s="3" t="s">
        <v>4955</v>
      </c>
      <c r="C212" s="4">
        <v>1</v>
      </c>
      <c r="D212" s="5">
        <v>39.99</v>
      </c>
      <c r="E212" s="4" t="s">
        <v>4956</v>
      </c>
      <c r="F212" s="3" t="s">
        <v>5578</v>
      </c>
      <c r="G212" s="7" t="s">
        <v>5562</v>
      </c>
      <c r="H212" s="3" t="s">
        <v>5978</v>
      </c>
      <c r="I212" s="3" t="s">
        <v>5979</v>
      </c>
      <c r="J212" s="3" t="s">
        <v>5536</v>
      </c>
      <c r="K212" s="3" t="s">
        <v>5574</v>
      </c>
      <c r="L212" s="8" t="str">
        <f>HYPERLINK("http://slimages.macys.com/is/image/MCY/13830987 ")</f>
        <v xml:space="preserve">http://slimages.macys.com/is/image/MCY/13830987 </v>
      </c>
    </row>
    <row r="213" spans="1:12" x14ac:dyDescent="0.25">
      <c r="A213" s="6" t="s">
        <v>4960</v>
      </c>
      <c r="B213" s="3" t="s">
        <v>4955</v>
      </c>
      <c r="C213" s="4">
        <v>2</v>
      </c>
      <c r="D213" s="5">
        <v>79.98</v>
      </c>
      <c r="E213" s="4" t="s">
        <v>4956</v>
      </c>
      <c r="F213" s="3" t="s">
        <v>5745</v>
      </c>
      <c r="G213" s="7" t="s">
        <v>5598</v>
      </c>
      <c r="H213" s="3" t="s">
        <v>5978</v>
      </c>
      <c r="I213" s="3" t="s">
        <v>5979</v>
      </c>
      <c r="J213" s="3" t="s">
        <v>5536</v>
      </c>
      <c r="K213" s="3" t="s">
        <v>5574</v>
      </c>
      <c r="L213" s="8" t="str">
        <f>HYPERLINK("http://slimages.macys.com/is/image/MCY/13830987 ")</f>
        <v xml:space="preserve">http://slimages.macys.com/is/image/MCY/13830987 </v>
      </c>
    </row>
    <row r="214" spans="1:12" ht="24.75" x14ac:dyDescent="0.25">
      <c r="A214" s="6" t="s">
        <v>6339</v>
      </c>
      <c r="B214" s="3" t="s">
        <v>6279</v>
      </c>
      <c r="C214" s="4">
        <v>2</v>
      </c>
      <c r="D214" s="5">
        <v>56</v>
      </c>
      <c r="E214" s="4">
        <v>87594201</v>
      </c>
      <c r="F214" s="3" t="s">
        <v>5532</v>
      </c>
      <c r="G214" s="7" t="s">
        <v>5898</v>
      </c>
      <c r="H214" s="3" t="s">
        <v>6280</v>
      </c>
      <c r="I214" s="3" t="s">
        <v>6281</v>
      </c>
      <c r="J214" s="3" t="s">
        <v>5536</v>
      </c>
      <c r="K214" s="3" t="s">
        <v>5549</v>
      </c>
      <c r="L214" s="8" t="str">
        <f>HYPERLINK("http://slimages.macys.com/is/image/MCY/15882915 ")</f>
        <v xml:space="preserve">http://slimages.macys.com/is/image/MCY/15882915 </v>
      </c>
    </row>
    <row r="215" spans="1:12" ht="24.75" x14ac:dyDescent="0.25">
      <c r="A215" s="6" t="s">
        <v>6297</v>
      </c>
      <c r="B215" s="3" t="s">
        <v>6291</v>
      </c>
      <c r="C215" s="4">
        <v>2</v>
      </c>
      <c r="D215" s="5">
        <v>56</v>
      </c>
      <c r="E215" s="4">
        <v>87994501</v>
      </c>
      <c r="F215" s="3" t="s">
        <v>5532</v>
      </c>
      <c r="G215" s="7" t="s">
        <v>5898</v>
      </c>
      <c r="H215" s="3" t="s">
        <v>6280</v>
      </c>
      <c r="I215" s="3" t="s">
        <v>6281</v>
      </c>
      <c r="J215" s="3" t="s">
        <v>5536</v>
      </c>
      <c r="K215" s="3" t="s">
        <v>6292</v>
      </c>
      <c r="L215" s="8" t="str">
        <f>HYPERLINK("http://slimages.macys.com/is/image/MCY/16178983 ")</f>
        <v xml:space="preserve">http://slimages.macys.com/is/image/MCY/16178983 </v>
      </c>
    </row>
    <row r="216" spans="1:12" ht="24.75" x14ac:dyDescent="0.25">
      <c r="A216" s="6" t="s">
        <v>6324</v>
      </c>
      <c r="B216" s="3" t="s">
        <v>6325</v>
      </c>
      <c r="C216" s="4">
        <v>2</v>
      </c>
      <c r="D216" s="5">
        <v>56</v>
      </c>
      <c r="E216" s="4" t="s">
        <v>6326</v>
      </c>
      <c r="F216" s="3" t="s">
        <v>5540</v>
      </c>
      <c r="G216" s="7" t="s">
        <v>5898</v>
      </c>
      <c r="H216" s="3" t="s">
        <v>6280</v>
      </c>
      <c r="I216" s="3" t="s">
        <v>6288</v>
      </c>
      <c r="J216" s="3" t="s">
        <v>5536</v>
      </c>
      <c r="K216" s="3" t="s">
        <v>6327</v>
      </c>
      <c r="L216" s="8" t="str">
        <f>HYPERLINK("http://slimages.macys.com/is/image/MCY/15145045 ")</f>
        <v xml:space="preserve">http://slimages.macys.com/is/image/MCY/15145045 </v>
      </c>
    </row>
    <row r="217" spans="1:12" ht="24.75" x14ac:dyDescent="0.25">
      <c r="A217" s="6" t="s">
        <v>6366</v>
      </c>
      <c r="B217" s="3" t="s">
        <v>6367</v>
      </c>
      <c r="C217" s="4">
        <v>1</v>
      </c>
      <c r="D217" s="5">
        <v>28</v>
      </c>
      <c r="E217" s="4" t="s">
        <v>6368</v>
      </c>
      <c r="F217" s="3" t="s">
        <v>5532</v>
      </c>
      <c r="G217" s="7" t="s">
        <v>5898</v>
      </c>
      <c r="H217" s="3" t="s">
        <v>6280</v>
      </c>
      <c r="I217" s="3" t="s">
        <v>6288</v>
      </c>
      <c r="J217" s="3" t="s">
        <v>5536</v>
      </c>
      <c r="K217" s="3" t="s">
        <v>6295</v>
      </c>
      <c r="L217" s="8" t="str">
        <f>HYPERLINK("http://slimages.macys.com/is/image/MCY/16189774 ")</f>
        <v xml:space="preserve">http://slimages.macys.com/is/image/MCY/16189774 </v>
      </c>
    </row>
    <row r="218" spans="1:12" ht="24.75" x14ac:dyDescent="0.25">
      <c r="A218" s="6" t="s">
        <v>6394</v>
      </c>
      <c r="B218" s="3" t="s">
        <v>6347</v>
      </c>
      <c r="C218" s="4">
        <v>1</v>
      </c>
      <c r="D218" s="5">
        <v>28</v>
      </c>
      <c r="E218" s="4">
        <v>87994409</v>
      </c>
      <c r="F218" s="3" t="s">
        <v>5532</v>
      </c>
      <c r="G218" s="7" t="s">
        <v>5898</v>
      </c>
      <c r="H218" s="3" t="s">
        <v>6280</v>
      </c>
      <c r="I218" s="3" t="s">
        <v>6281</v>
      </c>
      <c r="J218" s="3" t="s">
        <v>5536</v>
      </c>
      <c r="K218" s="3" t="s">
        <v>6332</v>
      </c>
      <c r="L218" s="8" t="str">
        <f>HYPERLINK("http://slimages.macys.com/is/image/MCY/15147571 ")</f>
        <v xml:space="preserve">http://slimages.macys.com/is/image/MCY/15147571 </v>
      </c>
    </row>
    <row r="219" spans="1:12" ht="24.75" x14ac:dyDescent="0.25">
      <c r="A219" s="6" t="s">
        <v>4961</v>
      </c>
      <c r="B219" s="3" t="s">
        <v>4962</v>
      </c>
      <c r="C219" s="4">
        <v>2</v>
      </c>
      <c r="D219" s="5">
        <v>56</v>
      </c>
      <c r="E219" s="4" t="s">
        <v>4963</v>
      </c>
      <c r="F219" s="3" t="s">
        <v>5540</v>
      </c>
      <c r="G219" s="7" t="s">
        <v>5898</v>
      </c>
      <c r="H219" s="3" t="s">
        <v>6280</v>
      </c>
      <c r="I219" s="3" t="s">
        <v>6288</v>
      </c>
      <c r="J219" s="3" t="s">
        <v>5536</v>
      </c>
      <c r="K219" s="3" t="s">
        <v>6327</v>
      </c>
      <c r="L219" s="8" t="str">
        <f>HYPERLINK("http://slimages.macys.com/is/image/MCY/15145103 ")</f>
        <v xml:space="preserve">http://slimages.macys.com/is/image/MCY/15145103 </v>
      </c>
    </row>
    <row r="220" spans="1:12" ht="24.75" x14ac:dyDescent="0.25">
      <c r="A220" s="6" t="s">
        <v>6305</v>
      </c>
      <c r="B220" s="3" t="s">
        <v>6306</v>
      </c>
      <c r="C220" s="4">
        <v>1</v>
      </c>
      <c r="D220" s="5">
        <v>28</v>
      </c>
      <c r="E220" s="4">
        <v>87994405</v>
      </c>
      <c r="F220" s="3" t="s">
        <v>5532</v>
      </c>
      <c r="G220" s="7" t="s">
        <v>5898</v>
      </c>
      <c r="H220" s="3" t="s">
        <v>6280</v>
      </c>
      <c r="I220" s="3" t="s">
        <v>6281</v>
      </c>
      <c r="J220" s="3" t="s">
        <v>5536</v>
      </c>
      <c r="K220" s="3" t="s">
        <v>6295</v>
      </c>
      <c r="L220" s="8" t="str">
        <f>HYPERLINK("http://slimages.macys.com/is/image/MCY/16090922 ")</f>
        <v xml:space="preserve">http://slimages.macys.com/is/image/MCY/16090922 </v>
      </c>
    </row>
    <row r="221" spans="1:12" ht="24.75" x14ac:dyDescent="0.25">
      <c r="A221" s="6" t="s">
        <v>6373</v>
      </c>
      <c r="B221" s="3" t="s">
        <v>6374</v>
      </c>
      <c r="C221" s="4">
        <v>1</v>
      </c>
      <c r="D221" s="5">
        <v>28</v>
      </c>
      <c r="E221" s="4" t="s">
        <v>6375</v>
      </c>
      <c r="F221" s="3" t="s">
        <v>5532</v>
      </c>
      <c r="G221" s="7" t="s">
        <v>5898</v>
      </c>
      <c r="H221" s="3" t="s">
        <v>6280</v>
      </c>
      <c r="I221" s="3" t="s">
        <v>6288</v>
      </c>
      <c r="J221" s="3" t="s">
        <v>5536</v>
      </c>
      <c r="K221" s="3" t="s">
        <v>6376</v>
      </c>
      <c r="L221" s="8" t="str">
        <f>HYPERLINK("http://slimages.macys.com/is/image/MCY/16192518 ")</f>
        <v xml:space="preserve">http://slimages.macys.com/is/image/MCY/16192518 </v>
      </c>
    </row>
    <row r="222" spans="1:12" ht="24.75" x14ac:dyDescent="0.25">
      <c r="A222" s="6" t="s">
        <v>6365</v>
      </c>
      <c r="B222" s="3" t="s">
        <v>6359</v>
      </c>
      <c r="C222" s="4">
        <v>1</v>
      </c>
      <c r="D222" s="5">
        <v>28</v>
      </c>
      <c r="E222" s="4" t="s">
        <v>6360</v>
      </c>
      <c r="F222" s="3" t="s">
        <v>5625</v>
      </c>
      <c r="G222" s="7" t="s">
        <v>5898</v>
      </c>
      <c r="H222" s="3" t="s">
        <v>6280</v>
      </c>
      <c r="I222" s="3" t="s">
        <v>6288</v>
      </c>
      <c r="J222" s="3" t="s">
        <v>5536</v>
      </c>
      <c r="K222" s="3" t="s">
        <v>6295</v>
      </c>
      <c r="L222" s="8" t="str">
        <f>HYPERLINK("http://slimages.macys.com/is/image/MCY/15918338 ")</f>
        <v xml:space="preserve">http://slimages.macys.com/is/image/MCY/15918338 </v>
      </c>
    </row>
    <row r="223" spans="1:12" ht="24.75" x14ac:dyDescent="0.25">
      <c r="A223" s="6" t="s">
        <v>6361</v>
      </c>
      <c r="B223" s="3" t="s">
        <v>6325</v>
      </c>
      <c r="C223" s="4">
        <v>1</v>
      </c>
      <c r="D223" s="5">
        <v>28</v>
      </c>
      <c r="E223" s="4" t="s">
        <v>6326</v>
      </c>
      <c r="F223" s="3" t="s">
        <v>5754</v>
      </c>
      <c r="G223" s="7" t="s">
        <v>5898</v>
      </c>
      <c r="H223" s="3" t="s">
        <v>6280</v>
      </c>
      <c r="I223" s="3" t="s">
        <v>6288</v>
      </c>
      <c r="J223" s="3" t="s">
        <v>5536</v>
      </c>
      <c r="K223" s="3" t="s">
        <v>6327</v>
      </c>
      <c r="L223" s="8" t="str">
        <f>HYPERLINK("http://slimages.macys.com/is/image/MCY/15145045 ")</f>
        <v xml:space="preserve">http://slimages.macys.com/is/image/MCY/15145045 </v>
      </c>
    </row>
    <row r="224" spans="1:12" ht="24.75" x14ac:dyDescent="0.25">
      <c r="A224" s="6" t="s">
        <v>4149</v>
      </c>
      <c r="B224" s="3" t="s">
        <v>6279</v>
      </c>
      <c r="C224" s="4">
        <v>1</v>
      </c>
      <c r="D224" s="5">
        <v>28</v>
      </c>
      <c r="E224" s="4">
        <v>87594201</v>
      </c>
      <c r="F224" s="3" t="s">
        <v>5552</v>
      </c>
      <c r="G224" s="7" t="s">
        <v>5898</v>
      </c>
      <c r="H224" s="3" t="s">
        <v>6280</v>
      </c>
      <c r="I224" s="3" t="s">
        <v>6281</v>
      </c>
      <c r="J224" s="3" t="s">
        <v>5536</v>
      </c>
      <c r="K224" s="3" t="s">
        <v>5549</v>
      </c>
      <c r="L224" s="8" t="str">
        <f>HYPERLINK("http://slimages.macys.com/is/image/MCY/15882915 ")</f>
        <v xml:space="preserve">http://slimages.macys.com/is/image/MCY/15882915 </v>
      </c>
    </row>
    <row r="225" spans="1:12" ht="24.75" x14ac:dyDescent="0.25">
      <c r="A225" s="6" t="s">
        <v>6380</v>
      </c>
      <c r="B225" s="3" t="s">
        <v>6381</v>
      </c>
      <c r="C225" s="4">
        <v>1</v>
      </c>
      <c r="D225" s="5">
        <v>28</v>
      </c>
      <c r="E225" s="4" t="s">
        <v>6382</v>
      </c>
      <c r="F225" s="3" t="s">
        <v>5540</v>
      </c>
      <c r="G225" s="7" t="s">
        <v>5898</v>
      </c>
      <c r="H225" s="3" t="s">
        <v>6280</v>
      </c>
      <c r="I225" s="3" t="s">
        <v>6288</v>
      </c>
      <c r="J225" s="3" t="s">
        <v>5536</v>
      </c>
      <c r="K225" s="3" t="s">
        <v>6295</v>
      </c>
      <c r="L225" s="8" t="str">
        <f>HYPERLINK("http://slimages.macys.com/is/image/MCY/14501689 ")</f>
        <v xml:space="preserve">http://slimages.macys.com/is/image/MCY/14501689 </v>
      </c>
    </row>
    <row r="226" spans="1:12" ht="24.75" x14ac:dyDescent="0.25">
      <c r="A226" s="6" t="s">
        <v>6383</v>
      </c>
      <c r="B226" s="3" t="s">
        <v>6384</v>
      </c>
      <c r="C226" s="4">
        <v>1</v>
      </c>
      <c r="D226" s="5">
        <v>28</v>
      </c>
      <c r="E226" s="4" t="s">
        <v>6385</v>
      </c>
      <c r="F226" s="3" t="s">
        <v>5540</v>
      </c>
      <c r="G226" s="7" t="s">
        <v>5898</v>
      </c>
      <c r="H226" s="3" t="s">
        <v>6280</v>
      </c>
      <c r="I226" s="3" t="s">
        <v>6288</v>
      </c>
      <c r="J226" s="3" t="s">
        <v>5536</v>
      </c>
      <c r="K226" s="3" t="s">
        <v>6386</v>
      </c>
      <c r="L226" s="8" t="str">
        <f>HYPERLINK("http://slimages.macys.com/is/image/MCY/15661533 ")</f>
        <v xml:space="preserve">http://slimages.macys.com/is/image/MCY/15661533 </v>
      </c>
    </row>
    <row r="227" spans="1:12" ht="24.75" x14ac:dyDescent="0.25">
      <c r="A227" s="6" t="s">
        <v>6350</v>
      </c>
      <c r="B227" s="3" t="s">
        <v>6351</v>
      </c>
      <c r="C227" s="4">
        <v>2</v>
      </c>
      <c r="D227" s="5">
        <v>56</v>
      </c>
      <c r="E227" s="4" t="s">
        <v>6352</v>
      </c>
      <c r="F227" s="3" t="s">
        <v>5540</v>
      </c>
      <c r="G227" s="7" t="s">
        <v>5898</v>
      </c>
      <c r="H227" s="3" t="s">
        <v>6280</v>
      </c>
      <c r="I227" s="3" t="s">
        <v>6288</v>
      </c>
      <c r="J227" s="3" t="s">
        <v>5536</v>
      </c>
      <c r="K227" s="3" t="s">
        <v>6327</v>
      </c>
      <c r="L227" s="8" t="str">
        <f>HYPERLINK("http://slimages.macys.com/is/image/MCY/15604756 ")</f>
        <v xml:space="preserve">http://slimages.macys.com/is/image/MCY/15604756 </v>
      </c>
    </row>
    <row r="228" spans="1:12" ht="24.75" x14ac:dyDescent="0.25">
      <c r="A228" s="6" t="s">
        <v>4964</v>
      </c>
      <c r="B228" s="3" t="s">
        <v>6392</v>
      </c>
      <c r="C228" s="4">
        <v>1</v>
      </c>
      <c r="D228" s="5">
        <v>28</v>
      </c>
      <c r="E228" s="4">
        <v>87991503</v>
      </c>
      <c r="F228" s="3" t="s">
        <v>5552</v>
      </c>
      <c r="G228" s="7" t="s">
        <v>5898</v>
      </c>
      <c r="H228" s="3" t="s">
        <v>6280</v>
      </c>
      <c r="I228" s="3" t="s">
        <v>6281</v>
      </c>
      <c r="J228" s="3" t="s">
        <v>5536</v>
      </c>
      <c r="K228" s="3" t="s">
        <v>6295</v>
      </c>
      <c r="L228" s="8" t="str">
        <f>HYPERLINK("http://slimages.macys.com/is/image/MCY/12076450 ")</f>
        <v xml:space="preserve">http://slimages.macys.com/is/image/MCY/12076450 </v>
      </c>
    </row>
    <row r="229" spans="1:12" ht="24.75" x14ac:dyDescent="0.25">
      <c r="A229" s="6" t="s">
        <v>6403</v>
      </c>
      <c r="B229" s="3" t="s">
        <v>6378</v>
      </c>
      <c r="C229" s="4">
        <v>1</v>
      </c>
      <c r="D229" s="5">
        <v>28</v>
      </c>
      <c r="E229" s="4" t="s">
        <v>6379</v>
      </c>
      <c r="F229" s="3" t="s">
        <v>5625</v>
      </c>
      <c r="G229" s="7" t="s">
        <v>5898</v>
      </c>
      <c r="H229" s="3" t="s">
        <v>6280</v>
      </c>
      <c r="I229" s="3" t="s">
        <v>6288</v>
      </c>
      <c r="J229" s="3" t="s">
        <v>5536</v>
      </c>
      <c r="K229" s="3" t="s">
        <v>6295</v>
      </c>
      <c r="L229" s="8" t="str">
        <f>HYPERLINK("http://slimages.macys.com/is/image/MCY/15883244 ")</f>
        <v xml:space="preserve">http://slimages.macys.com/is/image/MCY/15883244 </v>
      </c>
    </row>
    <row r="230" spans="1:12" ht="24.75" x14ac:dyDescent="0.25">
      <c r="A230" s="6" t="s">
        <v>6369</v>
      </c>
      <c r="B230" s="3" t="s">
        <v>6370</v>
      </c>
      <c r="C230" s="4">
        <v>1</v>
      </c>
      <c r="D230" s="5">
        <v>28</v>
      </c>
      <c r="E230" s="4" t="s">
        <v>6371</v>
      </c>
      <c r="F230" s="3" t="s">
        <v>5532</v>
      </c>
      <c r="G230" s="7" t="s">
        <v>5898</v>
      </c>
      <c r="H230" s="3" t="s">
        <v>6280</v>
      </c>
      <c r="I230" s="3" t="s">
        <v>6288</v>
      </c>
      <c r="J230" s="3" t="s">
        <v>5536</v>
      </c>
      <c r="K230" s="3" t="s">
        <v>6372</v>
      </c>
      <c r="L230" s="8" t="str">
        <f>HYPERLINK("http://slimages.macys.com/is/image/MCY/16193240 ")</f>
        <v xml:space="preserve">http://slimages.macys.com/is/image/MCY/16193240 </v>
      </c>
    </row>
    <row r="231" spans="1:12" ht="24.75" x14ac:dyDescent="0.25">
      <c r="A231" s="6" t="s">
        <v>6285</v>
      </c>
      <c r="B231" s="3" t="s">
        <v>6286</v>
      </c>
      <c r="C231" s="4">
        <v>1</v>
      </c>
      <c r="D231" s="5">
        <v>28</v>
      </c>
      <c r="E231" s="4" t="s">
        <v>6287</v>
      </c>
      <c r="F231" s="3" t="s">
        <v>5540</v>
      </c>
      <c r="G231" s="7" t="s">
        <v>5898</v>
      </c>
      <c r="H231" s="3" t="s">
        <v>6280</v>
      </c>
      <c r="I231" s="3" t="s">
        <v>6288</v>
      </c>
      <c r="J231" s="3" t="s">
        <v>5536</v>
      </c>
      <c r="K231" s="3" t="s">
        <v>6289</v>
      </c>
      <c r="L231" s="8" t="str">
        <f>HYPERLINK("http://slimages.macys.com/is/image/MCY/15604747 ")</f>
        <v xml:space="preserve">http://slimages.macys.com/is/image/MCY/15604747 </v>
      </c>
    </row>
    <row r="232" spans="1:12" ht="24.75" x14ac:dyDescent="0.25">
      <c r="A232" s="6" t="s">
        <v>4154</v>
      </c>
      <c r="B232" s="3" t="s">
        <v>4155</v>
      </c>
      <c r="C232" s="4">
        <v>1</v>
      </c>
      <c r="D232" s="5">
        <v>28</v>
      </c>
      <c r="E232" s="4" t="s">
        <v>4156</v>
      </c>
      <c r="F232" s="3" t="s">
        <v>6335</v>
      </c>
      <c r="G232" s="7" t="s">
        <v>5898</v>
      </c>
      <c r="H232" s="3" t="s">
        <v>6280</v>
      </c>
      <c r="I232" s="3" t="s">
        <v>6312</v>
      </c>
      <c r="J232" s="3" t="s">
        <v>5536</v>
      </c>
      <c r="K232" s="3" t="s">
        <v>4157</v>
      </c>
      <c r="L232" s="8" t="str">
        <f>HYPERLINK("http://slimages.macys.com/is/image/MCY/15440064 ")</f>
        <v xml:space="preserve">http://slimages.macys.com/is/image/MCY/15440064 </v>
      </c>
    </row>
    <row r="233" spans="1:12" ht="24.75" x14ac:dyDescent="0.25">
      <c r="A233" s="6" t="s">
        <v>6298</v>
      </c>
      <c r="B233" s="3" t="s">
        <v>6299</v>
      </c>
      <c r="C233" s="4">
        <v>2</v>
      </c>
      <c r="D233" s="5">
        <v>56</v>
      </c>
      <c r="E233" s="4">
        <v>87994302</v>
      </c>
      <c r="F233" s="3" t="s">
        <v>6300</v>
      </c>
      <c r="G233" s="7" t="s">
        <v>5898</v>
      </c>
      <c r="H233" s="3" t="s">
        <v>6280</v>
      </c>
      <c r="I233" s="3" t="s">
        <v>6281</v>
      </c>
      <c r="J233" s="3" t="s">
        <v>5536</v>
      </c>
      <c r="K233" s="3" t="s">
        <v>6292</v>
      </c>
      <c r="L233" s="8" t="str">
        <f>HYPERLINK("http://slimages.macys.com/is/image/MCY/16177521 ")</f>
        <v xml:space="preserve">http://slimages.macys.com/is/image/MCY/16177521 </v>
      </c>
    </row>
    <row r="234" spans="1:12" ht="24.75" x14ac:dyDescent="0.25">
      <c r="A234" s="6" t="s">
        <v>4965</v>
      </c>
      <c r="B234" s="3" t="s">
        <v>4966</v>
      </c>
      <c r="C234" s="4">
        <v>2</v>
      </c>
      <c r="D234" s="5">
        <v>56</v>
      </c>
      <c r="E234" s="4" t="s">
        <v>4967</v>
      </c>
      <c r="F234" s="3" t="s">
        <v>6335</v>
      </c>
      <c r="G234" s="7" t="s">
        <v>5898</v>
      </c>
      <c r="H234" s="3" t="s">
        <v>6280</v>
      </c>
      <c r="I234" s="3" t="s">
        <v>6312</v>
      </c>
      <c r="J234" s="3" t="s">
        <v>5536</v>
      </c>
      <c r="K234" s="3" t="s">
        <v>6338</v>
      </c>
      <c r="L234" s="8" t="str">
        <f>HYPERLINK("http://slimages.macys.com/is/image/MCY/16186730 ")</f>
        <v xml:space="preserve">http://slimages.macys.com/is/image/MCY/16186730 </v>
      </c>
    </row>
    <row r="235" spans="1:12" ht="24.75" x14ac:dyDescent="0.25">
      <c r="A235" s="6" t="s">
        <v>4968</v>
      </c>
      <c r="B235" s="3" t="s">
        <v>4969</v>
      </c>
      <c r="C235" s="4">
        <v>2</v>
      </c>
      <c r="D235" s="5">
        <v>56</v>
      </c>
      <c r="E235" s="4" t="s">
        <v>4970</v>
      </c>
      <c r="F235" s="3" t="s">
        <v>5625</v>
      </c>
      <c r="G235" s="7" t="s">
        <v>5898</v>
      </c>
      <c r="H235" s="3" t="s">
        <v>6280</v>
      </c>
      <c r="I235" s="3" t="s">
        <v>6312</v>
      </c>
      <c r="J235" s="3" t="s">
        <v>5536</v>
      </c>
      <c r="K235" s="3" t="s">
        <v>6332</v>
      </c>
      <c r="L235" s="8" t="str">
        <f>HYPERLINK("http://slimages.macys.com/is/image/MCY/15439992 ")</f>
        <v xml:space="preserve">http://slimages.macys.com/is/image/MCY/15439992 </v>
      </c>
    </row>
    <row r="236" spans="1:12" ht="24.75" x14ac:dyDescent="0.25">
      <c r="A236" s="6" t="s">
        <v>4205</v>
      </c>
      <c r="B236" s="3" t="s">
        <v>4206</v>
      </c>
      <c r="C236" s="4">
        <v>1</v>
      </c>
      <c r="D236" s="5">
        <v>28</v>
      </c>
      <c r="E236" s="4" t="s">
        <v>4207</v>
      </c>
      <c r="F236" s="3" t="s">
        <v>5566</v>
      </c>
      <c r="G236" s="7" t="s">
        <v>5898</v>
      </c>
      <c r="H236" s="3" t="s">
        <v>6280</v>
      </c>
      <c r="I236" s="3" t="s">
        <v>6312</v>
      </c>
      <c r="J236" s="3" t="s">
        <v>5536</v>
      </c>
      <c r="K236" s="3" t="s">
        <v>4157</v>
      </c>
      <c r="L236" s="8" t="str">
        <f>HYPERLINK("http://slimages.macys.com/is/image/MCY/15440089 ")</f>
        <v xml:space="preserve">http://slimages.macys.com/is/image/MCY/15440089 </v>
      </c>
    </row>
    <row r="237" spans="1:12" ht="24.75" x14ac:dyDescent="0.25">
      <c r="A237" s="6" t="s">
        <v>4971</v>
      </c>
      <c r="B237" s="3" t="s">
        <v>4972</v>
      </c>
      <c r="C237" s="4">
        <v>1</v>
      </c>
      <c r="D237" s="5">
        <v>28</v>
      </c>
      <c r="E237" s="4" t="s">
        <v>4973</v>
      </c>
      <c r="F237" s="3" t="s">
        <v>5640</v>
      </c>
      <c r="G237" s="7" t="s">
        <v>5898</v>
      </c>
      <c r="H237" s="3" t="s">
        <v>6280</v>
      </c>
      <c r="I237" s="3" t="s">
        <v>6312</v>
      </c>
      <c r="J237" s="3" t="s">
        <v>5536</v>
      </c>
      <c r="K237" s="3" t="s">
        <v>6303</v>
      </c>
      <c r="L237" s="8" t="str">
        <f>HYPERLINK("http://slimages.macys.com/is/image/MCY/10132715 ")</f>
        <v xml:space="preserve">http://slimages.macys.com/is/image/MCY/10132715 </v>
      </c>
    </row>
    <row r="238" spans="1:12" ht="24.75" x14ac:dyDescent="0.25">
      <c r="A238" s="6" t="s">
        <v>4196</v>
      </c>
      <c r="B238" s="3" t="s">
        <v>4166</v>
      </c>
      <c r="C238" s="4">
        <v>2</v>
      </c>
      <c r="D238" s="5">
        <v>56</v>
      </c>
      <c r="E238" s="4" t="s">
        <v>4167</v>
      </c>
      <c r="F238" s="3" t="s">
        <v>6146</v>
      </c>
      <c r="G238" s="7" t="s">
        <v>5898</v>
      </c>
      <c r="H238" s="3" t="s">
        <v>6280</v>
      </c>
      <c r="I238" s="3" t="s">
        <v>6312</v>
      </c>
      <c r="J238" s="3" t="s">
        <v>5536</v>
      </c>
      <c r="K238" s="3" t="s">
        <v>6303</v>
      </c>
      <c r="L238" s="8" t="str">
        <f>HYPERLINK("http://slimages.macys.com/is/image/MCY/15346508 ")</f>
        <v xml:space="preserve">http://slimages.macys.com/is/image/MCY/15346508 </v>
      </c>
    </row>
    <row r="239" spans="1:12" ht="24.75" x14ac:dyDescent="0.25">
      <c r="A239" s="6" t="s">
        <v>4974</v>
      </c>
      <c r="B239" s="3" t="s">
        <v>4966</v>
      </c>
      <c r="C239" s="4">
        <v>1</v>
      </c>
      <c r="D239" s="5">
        <v>28</v>
      </c>
      <c r="E239" s="4" t="s">
        <v>4967</v>
      </c>
      <c r="F239" s="3" t="s">
        <v>5532</v>
      </c>
      <c r="G239" s="7" t="s">
        <v>5898</v>
      </c>
      <c r="H239" s="3" t="s">
        <v>6280</v>
      </c>
      <c r="I239" s="3" t="s">
        <v>6312</v>
      </c>
      <c r="J239" s="3" t="s">
        <v>5536</v>
      </c>
      <c r="K239" s="3" t="s">
        <v>6338</v>
      </c>
      <c r="L239" s="8" t="str">
        <f>HYPERLINK("http://slimages.macys.com/is/image/MCY/16186730 ")</f>
        <v xml:space="preserve">http://slimages.macys.com/is/image/MCY/16186730 </v>
      </c>
    </row>
    <row r="240" spans="1:12" ht="24.75" x14ac:dyDescent="0.25">
      <c r="A240" s="6" t="s">
        <v>4975</v>
      </c>
      <c r="B240" s="3" t="s">
        <v>4976</v>
      </c>
      <c r="C240" s="4">
        <v>2</v>
      </c>
      <c r="D240" s="5">
        <v>56</v>
      </c>
      <c r="E240" s="4" t="s">
        <v>4977</v>
      </c>
      <c r="F240" s="3" t="s">
        <v>5532</v>
      </c>
      <c r="G240" s="7" t="s">
        <v>5898</v>
      </c>
      <c r="H240" s="3" t="s">
        <v>6280</v>
      </c>
      <c r="I240" s="3" t="s">
        <v>6312</v>
      </c>
      <c r="J240" s="3" t="s">
        <v>5536</v>
      </c>
      <c r="K240" s="3" t="s">
        <v>6295</v>
      </c>
      <c r="L240" s="8" t="str">
        <f>HYPERLINK("http://slimages.macys.com/is/image/MCY/15728991 ")</f>
        <v xml:space="preserve">http://slimages.macys.com/is/image/MCY/15728991 </v>
      </c>
    </row>
    <row r="241" spans="1:12" ht="24.75" x14ac:dyDescent="0.25">
      <c r="A241" s="6" t="s">
        <v>4168</v>
      </c>
      <c r="B241" s="3" t="s">
        <v>4169</v>
      </c>
      <c r="C241" s="4">
        <v>1</v>
      </c>
      <c r="D241" s="5">
        <v>28</v>
      </c>
      <c r="E241" s="4" t="s">
        <v>4170</v>
      </c>
      <c r="F241" s="3" t="s">
        <v>5793</v>
      </c>
      <c r="G241" s="7" t="s">
        <v>5898</v>
      </c>
      <c r="H241" s="3" t="s">
        <v>6280</v>
      </c>
      <c r="I241" s="3" t="s">
        <v>6312</v>
      </c>
      <c r="J241" s="3" t="s">
        <v>5536</v>
      </c>
      <c r="K241" s="3" t="s">
        <v>6303</v>
      </c>
      <c r="L241" s="8" t="str">
        <f>HYPERLINK("http://slimages.macys.com/is/image/MCY/9249530 ")</f>
        <v xml:space="preserve">http://slimages.macys.com/is/image/MCY/9249530 </v>
      </c>
    </row>
    <row r="242" spans="1:12" ht="24.75" x14ac:dyDescent="0.25">
      <c r="A242" s="6" t="s">
        <v>6309</v>
      </c>
      <c r="B242" s="3" t="s">
        <v>6310</v>
      </c>
      <c r="C242" s="4">
        <v>2</v>
      </c>
      <c r="D242" s="5">
        <v>56</v>
      </c>
      <c r="E242" s="4" t="s">
        <v>6311</v>
      </c>
      <c r="F242" s="3" t="s">
        <v>5625</v>
      </c>
      <c r="G242" s="7" t="s">
        <v>5898</v>
      </c>
      <c r="H242" s="3" t="s">
        <v>6280</v>
      </c>
      <c r="I242" s="3" t="s">
        <v>6312</v>
      </c>
      <c r="J242" s="3" t="s">
        <v>5536</v>
      </c>
      <c r="K242" s="3" t="s">
        <v>6313</v>
      </c>
      <c r="L242" s="8" t="str">
        <f>HYPERLINK("http://slimages.macys.com/is/image/MCY/15917644 ")</f>
        <v xml:space="preserve">http://slimages.macys.com/is/image/MCY/15917644 </v>
      </c>
    </row>
    <row r="243" spans="1:12" ht="24.75" x14ac:dyDescent="0.25">
      <c r="A243" s="6" t="s">
        <v>4978</v>
      </c>
      <c r="B243" s="3" t="s">
        <v>4174</v>
      </c>
      <c r="C243" s="4">
        <v>2</v>
      </c>
      <c r="D243" s="5">
        <v>56</v>
      </c>
      <c r="E243" s="4" t="s">
        <v>4175</v>
      </c>
      <c r="F243" s="3" t="s">
        <v>5610</v>
      </c>
      <c r="G243" s="7" t="s">
        <v>5898</v>
      </c>
      <c r="H243" s="3" t="s">
        <v>6280</v>
      </c>
      <c r="I243" s="3" t="s">
        <v>6312</v>
      </c>
      <c r="J243" s="3" t="s">
        <v>5536</v>
      </c>
      <c r="K243" s="3" t="s">
        <v>6295</v>
      </c>
      <c r="L243" s="8" t="str">
        <f>HYPERLINK("http://slimages.macys.com/is/image/MCY/15882728 ")</f>
        <v xml:space="preserve">http://slimages.macys.com/is/image/MCY/15882728 </v>
      </c>
    </row>
    <row r="244" spans="1:12" ht="24.75" x14ac:dyDescent="0.25">
      <c r="A244" s="6" t="s">
        <v>4193</v>
      </c>
      <c r="B244" s="3" t="s">
        <v>4194</v>
      </c>
      <c r="C244" s="4">
        <v>2</v>
      </c>
      <c r="D244" s="5">
        <v>56</v>
      </c>
      <c r="E244" s="4" t="s">
        <v>4195</v>
      </c>
      <c r="F244" s="3" t="s">
        <v>5566</v>
      </c>
      <c r="G244" s="7" t="s">
        <v>5898</v>
      </c>
      <c r="H244" s="3" t="s">
        <v>6280</v>
      </c>
      <c r="I244" s="3" t="s">
        <v>6312</v>
      </c>
      <c r="J244" s="3" t="s">
        <v>5536</v>
      </c>
      <c r="K244" s="3" t="s">
        <v>6295</v>
      </c>
      <c r="L244" s="8" t="str">
        <f>HYPERLINK("http://slimages.macys.com/is/image/MCY/15883849 ")</f>
        <v xml:space="preserve">http://slimages.macys.com/is/image/MCY/15883849 </v>
      </c>
    </row>
    <row r="245" spans="1:12" ht="24.75" x14ac:dyDescent="0.25">
      <c r="A245" s="6" t="s">
        <v>6301</v>
      </c>
      <c r="B245" s="3" t="s">
        <v>6302</v>
      </c>
      <c r="C245" s="4">
        <v>2</v>
      </c>
      <c r="D245" s="5">
        <v>56</v>
      </c>
      <c r="E245" s="4">
        <v>87983601</v>
      </c>
      <c r="F245" s="3" t="s">
        <v>5661</v>
      </c>
      <c r="G245" s="7" t="s">
        <v>5898</v>
      </c>
      <c r="H245" s="3" t="s">
        <v>6280</v>
      </c>
      <c r="I245" s="3" t="s">
        <v>6281</v>
      </c>
      <c r="J245" s="3" t="s">
        <v>5536</v>
      </c>
      <c r="K245" s="3" t="s">
        <v>6303</v>
      </c>
      <c r="L245" s="8" t="str">
        <f>HYPERLINK("http://slimages.macys.com/is/image/MCY/13907166 ")</f>
        <v xml:space="preserve">http://slimages.macys.com/is/image/MCY/13907166 </v>
      </c>
    </row>
    <row r="246" spans="1:12" ht="24.75" x14ac:dyDescent="0.25">
      <c r="A246" s="6" t="s">
        <v>6355</v>
      </c>
      <c r="B246" s="3" t="s">
        <v>6356</v>
      </c>
      <c r="C246" s="4">
        <v>2</v>
      </c>
      <c r="D246" s="5">
        <v>56</v>
      </c>
      <c r="E246" s="4">
        <v>87994406</v>
      </c>
      <c r="F246" s="3" t="s">
        <v>5532</v>
      </c>
      <c r="G246" s="7" t="s">
        <v>5898</v>
      </c>
      <c r="H246" s="3" t="s">
        <v>6280</v>
      </c>
      <c r="I246" s="3" t="s">
        <v>6281</v>
      </c>
      <c r="J246" s="3" t="s">
        <v>5536</v>
      </c>
      <c r="K246" s="3" t="s">
        <v>6292</v>
      </c>
      <c r="L246" s="8" t="str">
        <f>HYPERLINK("http://slimages.macys.com/is/image/MCY/16178779 ")</f>
        <v xml:space="preserve">http://slimages.macys.com/is/image/MCY/16178779 </v>
      </c>
    </row>
    <row r="247" spans="1:12" ht="24.75" x14ac:dyDescent="0.25">
      <c r="A247" s="6" t="s">
        <v>4197</v>
      </c>
      <c r="B247" s="3" t="s">
        <v>4166</v>
      </c>
      <c r="C247" s="4">
        <v>2</v>
      </c>
      <c r="D247" s="5">
        <v>56</v>
      </c>
      <c r="E247" s="4" t="s">
        <v>4167</v>
      </c>
      <c r="F247" s="3" t="s">
        <v>5566</v>
      </c>
      <c r="G247" s="7" t="s">
        <v>5898</v>
      </c>
      <c r="H247" s="3" t="s">
        <v>6280</v>
      </c>
      <c r="I247" s="3" t="s">
        <v>6312</v>
      </c>
      <c r="J247" s="3" t="s">
        <v>5536</v>
      </c>
      <c r="K247" s="3" t="s">
        <v>6303</v>
      </c>
      <c r="L247" s="8" t="str">
        <f>HYPERLINK("http://slimages.macys.com/is/image/MCY/15346508 ")</f>
        <v xml:space="preserve">http://slimages.macys.com/is/image/MCY/15346508 </v>
      </c>
    </row>
    <row r="248" spans="1:12" ht="24.75" x14ac:dyDescent="0.25">
      <c r="A248" s="6" t="s">
        <v>4979</v>
      </c>
      <c r="B248" s="3" t="s">
        <v>6405</v>
      </c>
      <c r="C248" s="4">
        <v>1</v>
      </c>
      <c r="D248" s="5">
        <v>28</v>
      </c>
      <c r="E248" s="4" t="s">
        <v>6406</v>
      </c>
      <c r="F248" s="3" t="s">
        <v>5540</v>
      </c>
      <c r="G248" s="7" t="s">
        <v>5898</v>
      </c>
      <c r="H248" s="3" t="s">
        <v>6280</v>
      </c>
      <c r="I248" s="3" t="s">
        <v>6312</v>
      </c>
      <c r="J248" s="3" t="s">
        <v>5536</v>
      </c>
      <c r="K248" s="3" t="s">
        <v>6303</v>
      </c>
      <c r="L248" s="8" t="str">
        <f>HYPERLINK("http://slimages.macys.com/is/image/MCY/15144773 ")</f>
        <v xml:space="preserve">http://slimages.macys.com/is/image/MCY/15144773 </v>
      </c>
    </row>
    <row r="249" spans="1:12" ht="24.75" x14ac:dyDescent="0.25">
      <c r="A249" s="6" t="s">
        <v>4980</v>
      </c>
      <c r="B249" s="3" t="s">
        <v>4981</v>
      </c>
      <c r="C249" s="4">
        <v>1</v>
      </c>
      <c r="D249" s="5">
        <v>28</v>
      </c>
      <c r="E249" s="4">
        <v>87984505</v>
      </c>
      <c r="F249" s="3" t="s">
        <v>5532</v>
      </c>
      <c r="G249" s="7" t="s">
        <v>5898</v>
      </c>
      <c r="H249" s="3" t="s">
        <v>6280</v>
      </c>
      <c r="I249" s="3" t="s">
        <v>6281</v>
      </c>
      <c r="J249" s="3" t="s">
        <v>5536</v>
      </c>
      <c r="K249" s="3" t="s">
        <v>6295</v>
      </c>
      <c r="L249" s="8" t="str">
        <f>HYPERLINK("http://slimages.macys.com/is/image/MCY/11952853 ")</f>
        <v xml:space="preserve">http://slimages.macys.com/is/image/MCY/11952853 </v>
      </c>
    </row>
    <row r="250" spans="1:12" ht="24.75" x14ac:dyDescent="0.25">
      <c r="A250" s="6" t="s">
        <v>6353</v>
      </c>
      <c r="B250" s="3" t="s">
        <v>6337</v>
      </c>
      <c r="C250" s="4">
        <v>2</v>
      </c>
      <c r="D250" s="5">
        <v>56</v>
      </c>
      <c r="E250" s="4">
        <v>87994403</v>
      </c>
      <c r="F250" s="3" t="s">
        <v>5661</v>
      </c>
      <c r="G250" s="7" t="s">
        <v>5898</v>
      </c>
      <c r="H250" s="3" t="s">
        <v>6280</v>
      </c>
      <c r="I250" s="3" t="s">
        <v>6281</v>
      </c>
      <c r="J250" s="3" t="s">
        <v>5536</v>
      </c>
      <c r="K250" s="3" t="s">
        <v>6338</v>
      </c>
      <c r="L250" s="8" t="str">
        <f>HYPERLINK("http://slimages.macys.com/is/image/MCY/15882927 ")</f>
        <v xml:space="preserve">http://slimages.macys.com/is/image/MCY/15882927 </v>
      </c>
    </row>
    <row r="251" spans="1:12" ht="24.75" x14ac:dyDescent="0.25">
      <c r="A251" s="6" t="s">
        <v>6296</v>
      </c>
      <c r="B251" s="3" t="s">
        <v>6283</v>
      </c>
      <c r="C251" s="4">
        <v>1</v>
      </c>
      <c r="D251" s="5">
        <v>28</v>
      </c>
      <c r="E251" s="4">
        <v>81994507</v>
      </c>
      <c r="F251" s="3" t="s">
        <v>5661</v>
      </c>
      <c r="G251" s="7" t="s">
        <v>5898</v>
      </c>
      <c r="H251" s="3" t="s">
        <v>6280</v>
      </c>
      <c r="I251" s="3" t="s">
        <v>6281</v>
      </c>
      <c r="J251" s="3" t="s">
        <v>5536</v>
      </c>
      <c r="K251" s="3" t="s">
        <v>6284</v>
      </c>
      <c r="L251" s="8" t="str">
        <f>HYPERLINK("http://slimages.macys.com/is/image/MCY/15882899 ")</f>
        <v xml:space="preserve">http://slimages.macys.com/is/image/MCY/15882899 </v>
      </c>
    </row>
    <row r="252" spans="1:12" ht="24.75" x14ac:dyDescent="0.25">
      <c r="A252" s="6" t="s">
        <v>4982</v>
      </c>
      <c r="B252" s="3" t="s">
        <v>6531</v>
      </c>
      <c r="C252" s="4">
        <v>2</v>
      </c>
      <c r="D252" s="5">
        <v>56</v>
      </c>
      <c r="E252" s="4">
        <v>87973222</v>
      </c>
      <c r="F252" s="3" t="s">
        <v>6983</v>
      </c>
      <c r="G252" s="7" t="s">
        <v>5898</v>
      </c>
      <c r="H252" s="3" t="s">
        <v>6280</v>
      </c>
      <c r="I252" s="3" t="s">
        <v>6281</v>
      </c>
      <c r="J252" s="3" t="s">
        <v>5536</v>
      </c>
      <c r="K252" s="3" t="s">
        <v>6303</v>
      </c>
      <c r="L252" s="8" t="str">
        <f>HYPERLINK("http://slimages.macys.com/is/image/MCY/8884419 ")</f>
        <v xml:space="preserve">http://slimages.macys.com/is/image/MCY/8884419 </v>
      </c>
    </row>
    <row r="253" spans="1:12" ht="24.75" x14ac:dyDescent="0.25">
      <c r="A253" s="6" t="s">
        <v>6336</v>
      </c>
      <c r="B253" s="3" t="s">
        <v>6337</v>
      </c>
      <c r="C253" s="4">
        <v>1</v>
      </c>
      <c r="D253" s="5">
        <v>28</v>
      </c>
      <c r="E253" s="4">
        <v>87994403</v>
      </c>
      <c r="F253" s="3" t="s">
        <v>5532</v>
      </c>
      <c r="G253" s="7" t="s">
        <v>5898</v>
      </c>
      <c r="H253" s="3" t="s">
        <v>6280</v>
      </c>
      <c r="I253" s="3" t="s">
        <v>6281</v>
      </c>
      <c r="J253" s="3" t="s">
        <v>5536</v>
      </c>
      <c r="K253" s="3" t="s">
        <v>6338</v>
      </c>
      <c r="L253" s="8" t="str">
        <f>HYPERLINK("http://slimages.macys.com/is/image/MCY/15882927 ")</f>
        <v xml:space="preserve">http://slimages.macys.com/is/image/MCY/15882927 </v>
      </c>
    </row>
    <row r="254" spans="1:12" ht="24.75" x14ac:dyDescent="0.25">
      <c r="A254" s="6" t="s">
        <v>6393</v>
      </c>
      <c r="B254" s="3" t="s">
        <v>6315</v>
      </c>
      <c r="C254" s="4">
        <v>2</v>
      </c>
      <c r="D254" s="5">
        <v>56</v>
      </c>
      <c r="E254" s="4">
        <v>87994301</v>
      </c>
      <c r="F254" s="3" t="s">
        <v>5661</v>
      </c>
      <c r="G254" s="7" t="s">
        <v>5898</v>
      </c>
      <c r="H254" s="3" t="s">
        <v>6280</v>
      </c>
      <c r="I254" s="3" t="s">
        <v>6281</v>
      </c>
      <c r="J254" s="3" t="s">
        <v>5536</v>
      </c>
      <c r="K254" s="3" t="s">
        <v>6316</v>
      </c>
      <c r="L254" s="8" t="str">
        <f>HYPERLINK("http://slimages.macys.com/is/image/MCY/15883995 ")</f>
        <v xml:space="preserve">http://slimages.macys.com/is/image/MCY/15883995 </v>
      </c>
    </row>
    <row r="255" spans="1:12" ht="24.75" x14ac:dyDescent="0.25">
      <c r="A255" s="6" t="s">
        <v>4230</v>
      </c>
      <c r="B255" s="3" t="s">
        <v>6337</v>
      </c>
      <c r="C255" s="4">
        <v>2</v>
      </c>
      <c r="D255" s="5">
        <v>56</v>
      </c>
      <c r="E255" s="4">
        <v>87994403</v>
      </c>
      <c r="F255" s="3" t="s">
        <v>5552</v>
      </c>
      <c r="G255" s="7" t="s">
        <v>5898</v>
      </c>
      <c r="H255" s="3" t="s">
        <v>6280</v>
      </c>
      <c r="I255" s="3" t="s">
        <v>6281</v>
      </c>
      <c r="J255" s="3" t="s">
        <v>5536</v>
      </c>
      <c r="K255" s="3" t="s">
        <v>6338</v>
      </c>
      <c r="L255" s="8" t="str">
        <f>HYPERLINK("http://slimages.macys.com/is/image/MCY/15882927 ")</f>
        <v xml:space="preserve">http://slimages.macys.com/is/image/MCY/15882927 </v>
      </c>
    </row>
    <row r="256" spans="1:12" ht="24.75" x14ac:dyDescent="0.25">
      <c r="A256" s="6" t="s">
        <v>6346</v>
      </c>
      <c r="B256" s="3" t="s">
        <v>6347</v>
      </c>
      <c r="C256" s="4">
        <v>2</v>
      </c>
      <c r="D256" s="5">
        <v>56</v>
      </c>
      <c r="E256" s="4">
        <v>87994409</v>
      </c>
      <c r="F256" s="3" t="s">
        <v>5661</v>
      </c>
      <c r="G256" s="7" t="s">
        <v>5898</v>
      </c>
      <c r="H256" s="3" t="s">
        <v>6280</v>
      </c>
      <c r="I256" s="3" t="s">
        <v>6281</v>
      </c>
      <c r="J256" s="3" t="s">
        <v>5536</v>
      </c>
      <c r="K256" s="3" t="s">
        <v>6332</v>
      </c>
      <c r="L256" s="8" t="str">
        <f>HYPERLINK("http://slimages.macys.com/is/image/MCY/15147571 ")</f>
        <v xml:space="preserve">http://slimages.macys.com/is/image/MCY/15147571 </v>
      </c>
    </row>
    <row r="257" spans="1:12" ht="24.75" x14ac:dyDescent="0.25">
      <c r="A257" s="6" t="s">
        <v>4227</v>
      </c>
      <c r="B257" s="3" t="s">
        <v>6294</v>
      </c>
      <c r="C257" s="4">
        <v>1</v>
      </c>
      <c r="D257" s="5">
        <v>28</v>
      </c>
      <c r="E257" s="4">
        <v>87994402</v>
      </c>
      <c r="F257" s="3" t="s">
        <v>5661</v>
      </c>
      <c r="G257" s="7" t="s">
        <v>5898</v>
      </c>
      <c r="H257" s="3" t="s">
        <v>6280</v>
      </c>
      <c r="I257" s="3" t="s">
        <v>6281</v>
      </c>
      <c r="J257" s="3" t="s">
        <v>5536</v>
      </c>
      <c r="K257" s="3" t="s">
        <v>6295</v>
      </c>
      <c r="L257" s="8" t="str">
        <f>HYPERLINK("http://slimages.macys.com/is/image/MCY/15884038 ")</f>
        <v xml:space="preserve">http://slimages.macys.com/is/image/MCY/15884038 </v>
      </c>
    </row>
    <row r="258" spans="1:12" ht="24.75" x14ac:dyDescent="0.25">
      <c r="A258" s="6" t="s">
        <v>4182</v>
      </c>
      <c r="B258" s="3" t="s">
        <v>6315</v>
      </c>
      <c r="C258" s="4">
        <v>2</v>
      </c>
      <c r="D258" s="5">
        <v>56</v>
      </c>
      <c r="E258" s="4">
        <v>87994301</v>
      </c>
      <c r="F258" s="3" t="s">
        <v>5552</v>
      </c>
      <c r="G258" s="7" t="s">
        <v>5898</v>
      </c>
      <c r="H258" s="3" t="s">
        <v>6280</v>
      </c>
      <c r="I258" s="3" t="s">
        <v>6281</v>
      </c>
      <c r="J258" s="3" t="s">
        <v>5536</v>
      </c>
      <c r="K258" s="3" t="s">
        <v>6316</v>
      </c>
      <c r="L258" s="8" t="str">
        <f>HYPERLINK("http://slimages.macys.com/is/image/MCY/15883995 ")</f>
        <v xml:space="preserve">http://slimages.macys.com/is/image/MCY/15883995 </v>
      </c>
    </row>
    <row r="259" spans="1:12" ht="24.75" x14ac:dyDescent="0.25">
      <c r="A259" s="6" t="s">
        <v>6354</v>
      </c>
      <c r="B259" s="3" t="s">
        <v>6294</v>
      </c>
      <c r="C259" s="4">
        <v>1</v>
      </c>
      <c r="D259" s="5">
        <v>28</v>
      </c>
      <c r="E259" s="4">
        <v>87994402</v>
      </c>
      <c r="F259" s="3" t="s">
        <v>5793</v>
      </c>
      <c r="G259" s="7" t="s">
        <v>5898</v>
      </c>
      <c r="H259" s="3" t="s">
        <v>6280</v>
      </c>
      <c r="I259" s="3" t="s">
        <v>6281</v>
      </c>
      <c r="J259" s="3" t="s">
        <v>5536</v>
      </c>
      <c r="K259" s="3" t="s">
        <v>6295</v>
      </c>
      <c r="L259" s="8" t="str">
        <f>HYPERLINK("http://slimages.macys.com/is/image/MCY/15884038 ")</f>
        <v xml:space="preserve">http://slimages.macys.com/is/image/MCY/15884038 </v>
      </c>
    </row>
    <row r="260" spans="1:12" ht="24.75" x14ac:dyDescent="0.25">
      <c r="A260" s="6" t="s">
        <v>4153</v>
      </c>
      <c r="B260" s="3" t="s">
        <v>6294</v>
      </c>
      <c r="C260" s="4">
        <v>2</v>
      </c>
      <c r="D260" s="5">
        <v>56</v>
      </c>
      <c r="E260" s="4">
        <v>87994402</v>
      </c>
      <c r="F260" s="3" t="s">
        <v>5532</v>
      </c>
      <c r="G260" s="7" t="s">
        <v>5898</v>
      </c>
      <c r="H260" s="3" t="s">
        <v>6280</v>
      </c>
      <c r="I260" s="3" t="s">
        <v>6281</v>
      </c>
      <c r="J260" s="3" t="s">
        <v>5536</v>
      </c>
      <c r="K260" s="3" t="s">
        <v>6295</v>
      </c>
      <c r="L260" s="8" t="str">
        <f>HYPERLINK("http://slimages.macys.com/is/image/MCY/15884038 ")</f>
        <v xml:space="preserve">http://slimages.macys.com/is/image/MCY/15884038 </v>
      </c>
    </row>
    <row r="261" spans="1:12" ht="24.75" x14ac:dyDescent="0.25">
      <c r="A261" s="6" t="s">
        <v>6290</v>
      </c>
      <c r="B261" s="3" t="s">
        <v>6291</v>
      </c>
      <c r="C261" s="4">
        <v>2</v>
      </c>
      <c r="D261" s="5">
        <v>56</v>
      </c>
      <c r="E261" s="4">
        <v>87994501</v>
      </c>
      <c r="F261" s="3" t="s">
        <v>6217</v>
      </c>
      <c r="G261" s="7" t="s">
        <v>5898</v>
      </c>
      <c r="H261" s="3" t="s">
        <v>6280</v>
      </c>
      <c r="I261" s="3" t="s">
        <v>6281</v>
      </c>
      <c r="J261" s="3" t="s">
        <v>5536</v>
      </c>
      <c r="K261" s="3" t="s">
        <v>6292</v>
      </c>
      <c r="L261" s="8" t="str">
        <f>HYPERLINK("http://slimages.macys.com/is/image/MCY/16178983 ")</f>
        <v xml:space="preserve">http://slimages.macys.com/is/image/MCY/16178983 </v>
      </c>
    </row>
    <row r="262" spans="1:12" ht="24.75" x14ac:dyDescent="0.25">
      <c r="A262" s="6" t="s">
        <v>6317</v>
      </c>
      <c r="B262" s="3" t="s">
        <v>6308</v>
      </c>
      <c r="C262" s="4">
        <v>1</v>
      </c>
      <c r="D262" s="5">
        <v>28</v>
      </c>
      <c r="E262" s="4">
        <v>87984402</v>
      </c>
      <c r="F262" s="3" t="s">
        <v>6300</v>
      </c>
      <c r="G262" s="7" t="s">
        <v>5898</v>
      </c>
      <c r="H262" s="3" t="s">
        <v>6280</v>
      </c>
      <c r="I262" s="3" t="s">
        <v>6281</v>
      </c>
      <c r="J262" s="3" t="s">
        <v>5536</v>
      </c>
      <c r="K262" s="3" t="s">
        <v>6295</v>
      </c>
      <c r="L262" s="8" t="str">
        <f>HYPERLINK("http://slimages.macys.com/is/image/MCY/11859714 ")</f>
        <v xml:space="preserve">http://slimages.macys.com/is/image/MCY/11859714 </v>
      </c>
    </row>
    <row r="263" spans="1:12" ht="24.75" x14ac:dyDescent="0.25">
      <c r="A263" s="6" t="s">
        <v>4983</v>
      </c>
      <c r="B263" s="3" t="s">
        <v>6392</v>
      </c>
      <c r="C263" s="4">
        <v>1</v>
      </c>
      <c r="D263" s="5">
        <v>28</v>
      </c>
      <c r="E263" s="4">
        <v>87991503</v>
      </c>
      <c r="F263" s="3" t="s">
        <v>6335</v>
      </c>
      <c r="G263" s="7" t="s">
        <v>5898</v>
      </c>
      <c r="H263" s="3" t="s">
        <v>6280</v>
      </c>
      <c r="I263" s="3" t="s">
        <v>6281</v>
      </c>
      <c r="J263" s="3" t="s">
        <v>5536</v>
      </c>
      <c r="K263" s="3" t="s">
        <v>6295</v>
      </c>
      <c r="L263" s="8" t="str">
        <f>HYPERLINK("http://slimages.macys.com/is/image/MCY/12076450 ")</f>
        <v xml:space="preserve">http://slimages.macys.com/is/image/MCY/12076450 </v>
      </c>
    </row>
    <row r="264" spans="1:12" ht="24.75" x14ac:dyDescent="0.25">
      <c r="A264" s="6" t="s">
        <v>4984</v>
      </c>
      <c r="B264" s="3" t="s">
        <v>4985</v>
      </c>
      <c r="C264" s="4">
        <v>1</v>
      </c>
      <c r="D264" s="5">
        <v>28</v>
      </c>
      <c r="E264" s="4">
        <v>87994407</v>
      </c>
      <c r="F264" s="3" t="s">
        <v>6010</v>
      </c>
      <c r="G264" s="7" t="s">
        <v>5898</v>
      </c>
      <c r="H264" s="3" t="s">
        <v>6280</v>
      </c>
      <c r="I264" s="3" t="s">
        <v>6281</v>
      </c>
      <c r="J264" s="3" t="s">
        <v>5536</v>
      </c>
      <c r="K264" s="3" t="s">
        <v>6292</v>
      </c>
      <c r="L264" s="8" t="str">
        <f>HYPERLINK("http://slimages.macys.com/is/image/MCY/16178870 ")</f>
        <v xml:space="preserve">http://slimages.macys.com/is/image/MCY/16178870 </v>
      </c>
    </row>
    <row r="265" spans="1:12" ht="24.75" x14ac:dyDescent="0.25">
      <c r="A265" s="6" t="s">
        <v>4986</v>
      </c>
      <c r="B265" s="3" t="s">
        <v>6299</v>
      </c>
      <c r="C265" s="4">
        <v>2</v>
      </c>
      <c r="D265" s="5">
        <v>56</v>
      </c>
      <c r="E265" s="4">
        <v>87994302</v>
      </c>
      <c r="F265" s="3" t="s">
        <v>6010</v>
      </c>
      <c r="G265" s="7" t="s">
        <v>5898</v>
      </c>
      <c r="H265" s="3" t="s">
        <v>6280</v>
      </c>
      <c r="I265" s="3" t="s">
        <v>6281</v>
      </c>
      <c r="J265" s="3" t="s">
        <v>5536</v>
      </c>
      <c r="K265" s="3" t="s">
        <v>6292</v>
      </c>
      <c r="L265" s="8" t="str">
        <f>HYPERLINK("http://slimages.macys.com/is/image/MCY/16177521 ")</f>
        <v xml:space="preserve">http://slimages.macys.com/is/image/MCY/16177521 </v>
      </c>
    </row>
    <row r="266" spans="1:12" ht="24.75" x14ac:dyDescent="0.25">
      <c r="A266" s="6" t="s">
        <v>6282</v>
      </c>
      <c r="B266" s="3" t="s">
        <v>6283</v>
      </c>
      <c r="C266" s="4">
        <v>1</v>
      </c>
      <c r="D266" s="5">
        <v>28</v>
      </c>
      <c r="E266" s="4">
        <v>81994507</v>
      </c>
      <c r="F266" s="3" t="s">
        <v>5532</v>
      </c>
      <c r="G266" s="7" t="s">
        <v>5898</v>
      </c>
      <c r="H266" s="3" t="s">
        <v>6280</v>
      </c>
      <c r="I266" s="3" t="s">
        <v>6281</v>
      </c>
      <c r="J266" s="3" t="s">
        <v>5536</v>
      </c>
      <c r="K266" s="3" t="s">
        <v>6284</v>
      </c>
      <c r="L266" s="8" t="str">
        <f>HYPERLINK("http://slimages.macys.com/is/image/MCY/15882899 ")</f>
        <v xml:space="preserve">http://slimages.macys.com/is/image/MCY/15882899 </v>
      </c>
    </row>
    <row r="267" spans="1:12" ht="24.75" x14ac:dyDescent="0.25">
      <c r="A267" s="6" t="s">
        <v>6314</v>
      </c>
      <c r="B267" s="3" t="s">
        <v>6315</v>
      </c>
      <c r="C267" s="4">
        <v>1</v>
      </c>
      <c r="D267" s="5">
        <v>28</v>
      </c>
      <c r="E267" s="4">
        <v>87994301</v>
      </c>
      <c r="F267" s="3" t="s">
        <v>5754</v>
      </c>
      <c r="G267" s="7" t="s">
        <v>5898</v>
      </c>
      <c r="H267" s="3" t="s">
        <v>6280</v>
      </c>
      <c r="I267" s="3" t="s">
        <v>6281</v>
      </c>
      <c r="J267" s="3" t="s">
        <v>5536</v>
      </c>
      <c r="K267" s="3" t="s">
        <v>6316</v>
      </c>
      <c r="L267" s="8" t="str">
        <f>HYPERLINK("http://slimages.macys.com/is/image/MCY/15883995 ")</f>
        <v xml:space="preserve">http://slimages.macys.com/is/image/MCY/15883995 </v>
      </c>
    </row>
    <row r="268" spans="1:12" ht="24.75" x14ac:dyDescent="0.25">
      <c r="A268" s="6" t="s">
        <v>4987</v>
      </c>
      <c r="B268" s="3" t="s">
        <v>4988</v>
      </c>
      <c r="C268" s="4">
        <v>1</v>
      </c>
      <c r="D268" s="5">
        <v>28</v>
      </c>
      <c r="E268" s="4">
        <v>87991204</v>
      </c>
      <c r="F268" s="3" t="s">
        <v>6983</v>
      </c>
      <c r="G268" s="7" t="s">
        <v>5898</v>
      </c>
      <c r="H268" s="3" t="s">
        <v>6280</v>
      </c>
      <c r="I268" s="3" t="s">
        <v>6281</v>
      </c>
      <c r="J268" s="3" t="s">
        <v>5536</v>
      </c>
      <c r="K268" s="3" t="s">
        <v>6295</v>
      </c>
      <c r="L268" s="8" t="str">
        <f>HYPERLINK("http://slimages.macys.com/is/image/MCY/11713145 ")</f>
        <v xml:space="preserve">http://slimages.macys.com/is/image/MCY/11713145 </v>
      </c>
    </row>
    <row r="269" spans="1:12" ht="24.75" x14ac:dyDescent="0.25">
      <c r="A269" s="6" t="s">
        <v>4208</v>
      </c>
      <c r="B269" s="3" t="s">
        <v>4162</v>
      </c>
      <c r="C269" s="4">
        <v>1</v>
      </c>
      <c r="D269" s="5">
        <v>28</v>
      </c>
      <c r="E269" s="4" t="s">
        <v>4163</v>
      </c>
      <c r="F269" s="3" t="s">
        <v>5532</v>
      </c>
      <c r="G269" s="7" t="s">
        <v>5898</v>
      </c>
      <c r="H269" s="3" t="s">
        <v>6280</v>
      </c>
      <c r="I269" s="3" t="s">
        <v>6312</v>
      </c>
      <c r="J269" s="3" t="s">
        <v>5536</v>
      </c>
      <c r="K269" s="3" t="s">
        <v>6338</v>
      </c>
      <c r="L269" s="8" t="str">
        <f>HYPERLINK("http://slimages.macys.com/is/image/MCY/15439897 ")</f>
        <v xml:space="preserve">http://slimages.macys.com/is/image/MCY/15439897 </v>
      </c>
    </row>
    <row r="270" spans="1:12" ht="24.75" x14ac:dyDescent="0.25">
      <c r="A270" s="6" t="s">
        <v>4989</v>
      </c>
      <c r="B270" s="3" t="s">
        <v>4990</v>
      </c>
      <c r="C270" s="4">
        <v>1</v>
      </c>
      <c r="D270" s="5">
        <v>28</v>
      </c>
      <c r="E270" s="4" t="s">
        <v>4991</v>
      </c>
      <c r="F270" s="3" t="s">
        <v>5532</v>
      </c>
      <c r="G270" s="7" t="s">
        <v>5898</v>
      </c>
      <c r="H270" s="3" t="s">
        <v>6280</v>
      </c>
      <c r="I270" s="3" t="s">
        <v>6312</v>
      </c>
      <c r="J270" s="3" t="s">
        <v>5536</v>
      </c>
      <c r="K270" s="3" t="s">
        <v>6332</v>
      </c>
      <c r="L270" s="8" t="str">
        <f>HYPERLINK("http://slimages.macys.com/is/image/MCY/15349130 ")</f>
        <v xml:space="preserve">http://slimages.macys.com/is/image/MCY/15349130 </v>
      </c>
    </row>
    <row r="271" spans="1:12" ht="24.75" x14ac:dyDescent="0.25">
      <c r="A271" s="6" t="s">
        <v>4199</v>
      </c>
      <c r="B271" s="3" t="s">
        <v>4200</v>
      </c>
      <c r="C271" s="4">
        <v>2</v>
      </c>
      <c r="D271" s="5">
        <v>56</v>
      </c>
      <c r="E271" s="4" t="s">
        <v>4201</v>
      </c>
      <c r="F271" s="3" t="s">
        <v>6010</v>
      </c>
      <c r="G271" s="7" t="s">
        <v>5898</v>
      </c>
      <c r="H271" s="3" t="s">
        <v>6280</v>
      </c>
      <c r="I271" s="3" t="s">
        <v>6312</v>
      </c>
      <c r="J271" s="3" t="s">
        <v>5536</v>
      </c>
      <c r="K271" s="3" t="s">
        <v>6372</v>
      </c>
      <c r="L271" s="8" t="str">
        <f>HYPERLINK("http://slimages.macys.com/is/image/MCY/14806164 ")</f>
        <v xml:space="preserve">http://slimages.macys.com/is/image/MCY/14806164 </v>
      </c>
    </row>
    <row r="272" spans="1:12" ht="24.75" x14ac:dyDescent="0.25">
      <c r="A272" s="6" t="s">
        <v>4992</v>
      </c>
      <c r="B272" s="3" t="s">
        <v>4993</v>
      </c>
      <c r="C272" s="4">
        <v>1</v>
      </c>
      <c r="D272" s="5">
        <v>28</v>
      </c>
      <c r="E272" s="4" t="s">
        <v>4994</v>
      </c>
      <c r="F272" s="3" t="s">
        <v>4995</v>
      </c>
      <c r="G272" s="7" t="s">
        <v>5898</v>
      </c>
      <c r="H272" s="3" t="s">
        <v>6280</v>
      </c>
      <c r="I272" s="3" t="s">
        <v>6312</v>
      </c>
      <c r="J272" s="3" t="s">
        <v>5536</v>
      </c>
      <c r="K272" s="3" t="s">
        <v>6303</v>
      </c>
      <c r="L272" s="8" t="str">
        <f>HYPERLINK("http://slimages.macys.com/is/image/MCY/1830071 ")</f>
        <v xml:space="preserve">http://slimages.macys.com/is/image/MCY/1830071 </v>
      </c>
    </row>
    <row r="273" spans="1:12" ht="24.75" x14ac:dyDescent="0.25">
      <c r="A273" s="6" t="s">
        <v>4996</v>
      </c>
      <c r="B273" s="3" t="s">
        <v>4990</v>
      </c>
      <c r="C273" s="4">
        <v>1</v>
      </c>
      <c r="D273" s="5">
        <v>28</v>
      </c>
      <c r="E273" s="4" t="s">
        <v>4991</v>
      </c>
      <c r="F273" s="3" t="s">
        <v>5540</v>
      </c>
      <c r="G273" s="7" t="s">
        <v>5898</v>
      </c>
      <c r="H273" s="3" t="s">
        <v>6280</v>
      </c>
      <c r="I273" s="3" t="s">
        <v>6312</v>
      </c>
      <c r="J273" s="3" t="s">
        <v>5536</v>
      </c>
      <c r="K273" s="3" t="s">
        <v>6332</v>
      </c>
      <c r="L273" s="8" t="str">
        <f>HYPERLINK("http://slimages.macys.com/is/image/MCY/15349130 ")</f>
        <v xml:space="preserve">http://slimages.macys.com/is/image/MCY/15349130 </v>
      </c>
    </row>
    <row r="274" spans="1:12" ht="24.75" x14ac:dyDescent="0.25">
      <c r="A274" s="6" t="s">
        <v>4997</v>
      </c>
      <c r="B274" s="3" t="s">
        <v>4990</v>
      </c>
      <c r="C274" s="4">
        <v>1</v>
      </c>
      <c r="D274" s="5">
        <v>28</v>
      </c>
      <c r="E274" s="4" t="s">
        <v>4991</v>
      </c>
      <c r="F274" s="3" t="s">
        <v>5754</v>
      </c>
      <c r="G274" s="7" t="s">
        <v>5898</v>
      </c>
      <c r="H274" s="3" t="s">
        <v>6280</v>
      </c>
      <c r="I274" s="3" t="s">
        <v>6312</v>
      </c>
      <c r="J274" s="3" t="s">
        <v>5536</v>
      </c>
      <c r="K274" s="3" t="s">
        <v>6332</v>
      </c>
      <c r="L274" s="8" t="str">
        <f>HYPERLINK("http://slimages.macys.com/is/image/MCY/15349130 ")</f>
        <v xml:space="preserve">http://slimages.macys.com/is/image/MCY/15349130 </v>
      </c>
    </row>
    <row r="275" spans="1:12" ht="24.75" x14ac:dyDescent="0.25">
      <c r="A275" s="6" t="s">
        <v>4998</v>
      </c>
      <c r="B275" s="3" t="s">
        <v>4999</v>
      </c>
      <c r="C275" s="4">
        <v>1</v>
      </c>
      <c r="D275" s="5">
        <v>28</v>
      </c>
      <c r="E275" s="4" t="s">
        <v>5000</v>
      </c>
      <c r="F275" s="3" t="s">
        <v>6217</v>
      </c>
      <c r="G275" s="7" t="s">
        <v>5898</v>
      </c>
      <c r="H275" s="3" t="s">
        <v>6280</v>
      </c>
      <c r="I275" s="3" t="s">
        <v>6312</v>
      </c>
      <c r="J275" s="3" t="s">
        <v>5536</v>
      </c>
      <c r="K275" s="3" t="s">
        <v>6295</v>
      </c>
      <c r="L275" s="8" t="str">
        <f>HYPERLINK("http://slimages.macys.com/is/image/MCY/16186312 ")</f>
        <v xml:space="preserve">http://slimages.macys.com/is/image/MCY/16186312 </v>
      </c>
    </row>
    <row r="276" spans="1:12" ht="24.75" x14ac:dyDescent="0.25">
      <c r="A276" s="6" t="s">
        <v>5001</v>
      </c>
      <c r="B276" s="3" t="s">
        <v>5002</v>
      </c>
      <c r="C276" s="4">
        <v>2</v>
      </c>
      <c r="D276" s="5">
        <v>56</v>
      </c>
      <c r="E276" s="4" t="s">
        <v>5003</v>
      </c>
      <c r="F276" s="3" t="s">
        <v>4687</v>
      </c>
      <c r="G276" s="7" t="s">
        <v>5898</v>
      </c>
      <c r="H276" s="3" t="s">
        <v>6280</v>
      </c>
      <c r="I276" s="3" t="s">
        <v>6312</v>
      </c>
      <c r="J276" s="3" t="s">
        <v>5536</v>
      </c>
      <c r="K276" s="3" t="s">
        <v>6303</v>
      </c>
      <c r="L276" s="8" t="str">
        <f>HYPERLINK("http://slimages.macys.com/is/image/MCY/1796351 ")</f>
        <v xml:space="preserve">http://slimages.macys.com/is/image/MCY/1796351 </v>
      </c>
    </row>
    <row r="277" spans="1:12" ht="24.75" x14ac:dyDescent="0.25">
      <c r="A277" s="6" t="s">
        <v>5004</v>
      </c>
      <c r="B277" s="3" t="s">
        <v>4155</v>
      </c>
      <c r="C277" s="4">
        <v>1</v>
      </c>
      <c r="D277" s="5">
        <v>28</v>
      </c>
      <c r="E277" s="4" t="s">
        <v>4156</v>
      </c>
      <c r="F277" s="3" t="s">
        <v>5532</v>
      </c>
      <c r="G277" s="7" t="s">
        <v>5898</v>
      </c>
      <c r="H277" s="3" t="s">
        <v>6280</v>
      </c>
      <c r="I277" s="3" t="s">
        <v>6312</v>
      </c>
      <c r="J277" s="3" t="s">
        <v>5536</v>
      </c>
      <c r="K277" s="3" t="s">
        <v>4157</v>
      </c>
      <c r="L277" s="8" t="str">
        <f>HYPERLINK("http://slimages.macys.com/is/image/MCY/15440064 ")</f>
        <v xml:space="preserve">http://slimages.macys.com/is/image/MCY/15440064 </v>
      </c>
    </row>
    <row r="278" spans="1:12" ht="24.75" x14ac:dyDescent="0.25">
      <c r="A278" s="6" t="s">
        <v>4209</v>
      </c>
      <c r="B278" s="3" t="s">
        <v>4210</v>
      </c>
      <c r="C278" s="4">
        <v>2</v>
      </c>
      <c r="D278" s="5">
        <v>56</v>
      </c>
      <c r="E278" s="4" t="s">
        <v>4211</v>
      </c>
      <c r="F278" s="3" t="s">
        <v>6010</v>
      </c>
      <c r="G278" s="7" t="s">
        <v>5898</v>
      </c>
      <c r="H278" s="3" t="s">
        <v>6280</v>
      </c>
      <c r="I278" s="3" t="s">
        <v>6312</v>
      </c>
      <c r="J278" s="3" t="s">
        <v>5536</v>
      </c>
      <c r="K278" s="3" t="s">
        <v>6332</v>
      </c>
      <c r="L278" s="8" t="str">
        <f>HYPERLINK("http://slimages.macys.com/is/image/MCY/15883771 ")</f>
        <v xml:space="preserve">http://slimages.macys.com/is/image/MCY/15883771 </v>
      </c>
    </row>
    <row r="279" spans="1:12" ht="24.75" x14ac:dyDescent="0.25">
      <c r="A279" s="6" t="s">
        <v>5005</v>
      </c>
      <c r="B279" s="3" t="s">
        <v>6310</v>
      </c>
      <c r="C279" s="4">
        <v>2</v>
      </c>
      <c r="D279" s="5">
        <v>56</v>
      </c>
      <c r="E279" s="4" t="s">
        <v>6311</v>
      </c>
      <c r="F279" s="3" t="s">
        <v>6335</v>
      </c>
      <c r="G279" s="7" t="s">
        <v>5898</v>
      </c>
      <c r="H279" s="3" t="s">
        <v>6280</v>
      </c>
      <c r="I279" s="3" t="s">
        <v>6312</v>
      </c>
      <c r="J279" s="3" t="s">
        <v>5536</v>
      </c>
      <c r="K279" s="3" t="s">
        <v>6313</v>
      </c>
      <c r="L279" s="8" t="str">
        <f>HYPERLINK("http://slimages.macys.com/is/image/MCY/15917644 ")</f>
        <v xml:space="preserve">http://slimages.macys.com/is/image/MCY/15917644 </v>
      </c>
    </row>
    <row r="280" spans="1:12" ht="24.75" x14ac:dyDescent="0.25">
      <c r="A280" s="6" t="s">
        <v>5006</v>
      </c>
      <c r="B280" s="3" t="s">
        <v>4169</v>
      </c>
      <c r="C280" s="4">
        <v>2</v>
      </c>
      <c r="D280" s="5">
        <v>56</v>
      </c>
      <c r="E280" s="4" t="s">
        <v>4170</v>
      </c>
      <c r="F280" s="3" t="s">
        <v>5820</v>
      </c>
      <c r="G280" s="7" t="s">
        <v>5898</v>
      </c>
      <c r="H280" s="3" t="s">
        <v>6280</v>
      </c>
      <c r="I280" s="3" t="s">
        <v>6312</v>
      </c>
      <c r="J280" s="3" t="s">
        <v>5536</v>
      </c>
      <c r="K280" s="3" t="s">
        <v>6303</v>
      </c>
      <c r="L280" s="8" t="str">
        <f>HYPERLINK("http://slimages.macys.com/is/image/MCY/9249530 ")</f>
        <v xml:space="preserve">http://slimages.macys.com/is/image/MCY/9249530 </v>
      </c>
    </row>
    <row r="281" spans="1:12" ht="24.75" x14ac:dyDescent="0.25">
      <c r="A281" s="6" t="s">
        <v>5007</v>
      </c>
      <c r="B281" s="3" t="s">
        <v>4976</v>
      </c>
      <c r="C281" s="4">
        <v>1</v>
      </c>
      <c r="D281" s="5">
        <v>28</v>
      </c>
      <c r="E281" s="4" t="s">
        <v>5008</v>
      </c>
      <c r="F281" s="3" t="s">
        <v>6217</v>
      </c>
      <c r="G281" s="7" t="s">
        <v>5898</v>
      </c>
      <c r="H281" s="3" t="s">
        <v>6280</v>
      </c>
      <c r="I281" s="3" t="s">
        <v>6312</v>
      </c>
      <c r="J281" s="3" t="s">
        <v>5536</v>
      </c>
      <c r="K281" s="3" t="s">
        <v>6295</v>
      </c>
      <c r="L281" s="8" t="str">
        <f>HYPERLINK("http://slimages.macys.com/is/image/MCY/16187272 ")</f>
        <v xml:space="preserve">http://slimages.macys.com/is/image/MCY/16187272 </v>
      </c>
    </row>
    <row r="282" spans="1:12" ht="24.75" x14ac:dyDescent="0.25">
      <c r="A282" s="6" t="s">
        <v>5009</v>
      </c>
      <c r="B282" s="3" t="s">
        <v>5010</v>
      </c>
      <c r="C282" s="4">
        <v>1</v>
      </c>
      <c r="D282" s="5">
        <v>28</v>
      </c>
      <c r="E282" s="4" t="s">
        <v>5011</v>
      </c>
      <c r="F282" s="3" t="s">
        <v>5532</v>
      </c>
      <c r="G282" s="7" t="s">
        <v>5898</v>
      </c>
      <c r="H282" s="3" t="s">
        <v>6280</v>
      </c>
      <c r="I282" s="3" t="s">
        <v>6312</v>
      </c>
      <c r="J282" s="3" t="s">
        <v>5536</v>
      </c>
      <c r="K282" s="3" t="s">
        <v>6295</v>
      </c>
      <c r="L282" s="8" t="str">
        <f>HYPERLINK("http://slimages.macys.com/is/image/MCY/15729025 ")</f>
        <v xml:space="preserve">http://slimages.macys.com/is/image/MCY/15729025 </v>
      </c>
    </row>
    <row r="283" spans="1:12" ht="24.75" x14ac:dyDescent="0.25">
      <c r="A283" s="6" t="s">
        <v>5012</v>
      </c>
      <c r="B283" s="3" t="s">
        <v>5013</v>
      </c>
      <c r="C283" s="4">
        <v>2</v>
      </c>
      <c r="D283" s="5">
        <v>56</v>
      </c>
      <c r="E283" s="4" t="s">
        <v>5014</v>
      </c>
      <c r="F283" s="3" t="s">
        <v>5532</v>
      </c>
      <c r="G283" s="7" t="s">
        <v>5898</v>
      </c>
      <c r="H283" s="3" t="s">
        <v>6280</v>
      </c>
      <c r="I283" s="3" t="s">
        <v>6312</v>
      </c>
      <c r="J283" s="3" t="s">
        <v>5536</v>
      </c>
      <c r="K283" s="3" t="s">
        <v>6295</v>
      </c>
      <c r="L283" s="8" t="str">
        <f>HYPERLINK("http://slimages.macys.com/is/image/MCY/13948190 ")</f>
        <v xml:space="preserve">http://slimages.macys.com/is/image/MCY/13948190 </v>
      </c>
    </row>
    <row r="284" spans="1:12" ht="24.75" x14ac:dyDescent="0.25">
      <c r="A284" s="6" t="s">
        <v>5015</v>
      </c>
      <c r="B284" s="3" t="s">
        <v>6408</v>
      </c>
      <c r="C284" s="4">
        <v>2</v>
      </c>
      <c r="D284" s="5">
        <v>56</v>
      </c>
      <c r="E284" s="4" t="s">
        <v>6409</v>
      </c>
      <c r="F284" s="3" t="s">
        <v>5532</v>
      </c>
      <c r="G284" s="7" t="s">
        <v>5898</v>
      </c>
      <c r="H284" s="3" t="s">
        <v>6280</v>
      </c>
      <c r="I284" s="3" t="s">
        <v>6312</v>
      </c>
      <c r="J284" s="3" t="s">
        <v>5536</v>
      </c>
      <c r="K284" s="3" t="s">
        <v>6303</v>
      </c>
      <c r="L284" s="8" t="str">
        <f>HYPERLINK("http://slimages.macys.com/is/image/MCY/15349483 ")</f>
        <v xml:space="preserve">http://slimages.macys.com/is/image/MCY/15349483 </v>
      </c>
    </row>
    <row r="285" spans="1:12" ht="24.75" x14ac:dyDescent="0.25">
      <c r="A285" s="6" t="s">
        <v>4164</v>
      </c>
      <c r="B285" s="3" t="s">
        <v>4159</v>
      </c>
      <c r="C285" s="4">
        <v>1</v>
      </c>
      <c r="D285" s="5">
        <v>28</v>
      </c>
      <c r="E285" s="4" t="s">
        <v>4160</v>
      </c>
      <c r="F285" s="3" t="s">
        <v>5532</v>
      </c>
      <c r="G285" s="7" t="s">
        <v>5898</v>
      </c>
      <c r="H285" s="3" t="s">
        <v>6280</v>
      </c>
      <c r="I285" s="3" t="s">
        <v>6312</v>
      </c>
      <c r="J285" s="3" t="s">
        <v>5536</v>
      </c>
      <c r="K285" s="3" t="s">
        <v>6295</v>
      </c>
      <c r="L285" s="8" t="str">
        <f>HYPERLINK("http://slimages.macys.com/is/image/MCY/15882734 ")</f>
        <v xml:space="preserve">http://slimages.macys.com/is/image/MCY/15882734 </v>
      </c>
    </row>
    <row r="286" spans="1:12" ht="24.75" x14ac:dyDescent="0.25">
      <c r="A286" s="6" t="s">
        <v>4161</v>
      </c>
      <c r="B286" s="3" t="s">
        <v>4162</v>
      </c>
      <c r="C286" s="4">
        <v>2</v>
      </c>
      <c r="D286" s="5">
        <v>56</v>
      </c>
      <c r="E286" s="4" t="s">
        <v>4163</v>
      </c>
      <c r="F286" s="3" t="s">
        <v>5566</v>
      </c>
      <c r="G286" s="7" t="s">
        <v>5898</v>
      </c>
      <c r="H286" s="3" t="s">
        <v>6280</v>
      </c>
      <c r="I286" s="3" t="s">
        <v>6312</v>
      </c>
      <c r="J286" s="3" t="s">
        <v>5536</v>
      </c>
      <c r="K286" s="3" t="s">
        <v>6338</v>
      </c>
      <c r="L286" s="8" t="str">
        <f>HYPERLINK("http://slimages.macys.com/is/image/MCY/15439897 ")</f>
        <v xml:space="preserve">http://slimages.macys.com/is/image/MCY/15439897 </v>
      </c>
    </row>
    <row r="287" spans="1:12" ht="24.75" x14ac:dyDescent="0.25">
      <c r="A287" s="6" t="s">
        <v>5016</v>
      </c>
      <c r="B287" s="3" t="s">
        <v>5017</v>
      </c>
      <c r="C287" s="4">
        <v>1</v>
      </c>
      <c r="D287" s="5">
        <v>28</v>
      </c>
      <c r="E287" s="4" t="s">
        <v>5018</v>
      </c>
      <c r="F287" s="3" t="s">
        <v>6983</v>
      </c>
      <c r="G287" s="7" t="s">
        <v>5898</v>
      </c>
      <c r="H287" s="3" t="s">
        <v>6280</v>
      </c>
      <c r="I287" s="3" t="s">
        <v>6312</v>
      </c>
      <c r="J287" s="3" t="s">
        <v>5536</v>
      </c>
      <c r="K287" s="3" t="s">
        <v>6295</v>
      </c>
      <c r="L287" s="8" t="str">
        <f>HYPERLINK("http://slimages.macys.com/is/image/MCY/14373490 ")</f>
        <v xml:space="preserve">http://slimages.macys.com/is/image/MCY/14373490 </v>
      </c>
    </row>
    <row r="288" spans="1:12" ht="24.75" x14ac:dyDescent="0.25">
      <c r="A288" s="6" t="s">
        <v>4217</v>
      </c>
      <c r="B288" s="3" t="s">
        <v>4166</v>
      </c>
      <c r="C288" s="4">
        <v>2</v>
      </c>
      <c r="D288" s="5">
        <v>56</v>
      </c>
      <c r="E288" s="4" t="s">
        <v>4167</v>
      </c>
      <c r="F288" s="3" t="s">
        <v>5532</v>
      </c>
      <c r="G288" s="7" t="s">
        <v>5898</v>
      </c>
      <c r="H288" s="3" t="s">
        <v>6280</v>
      </c>
      <c r="I288" s="3" t="s">
        <v>6312</v>
      </c>
      <c r="J288" s="3" t="s">
        <v>5536</v>
      </c>
      <c r="K288" s="3" t="s">
        <v>6303</v>
      </c>
      <c r="L288" s="8" t="str">
        <f>HYPERLINK("http://slimages.macys.com/is/image/MCY/15346508 ")</f>
        <v xml:space="preserve">http://slimages.macys.com/is/image/MCY/15346508 </v>
      </c>
    </row>
    <row r="289" spans="1:12" ht="24.75" x14ac:dyDescent="0.25">
      <c r="A289" s="6" t="s">
        <v>5019</v>
      </c>
      <c r="B289" s="3" t="s">
        <v>4969</v>
      </c>
      <c r="C289" s="4">
        <v>2</v>
      </c>
      <c r="D289" s="5">
        <v>56</v>
      </c>
      <c r="E289" s="4" t="s">
        <v>4970</v>
      </c>
      <c r="F289" s="3" t="s">
        <v>6983</v>
      </c>
      <c r="G289" s="7" t="s">
        <v>5898</v>
      </c>
      <c r="H289" s="3" t="s">
        <v>6280</v>
      </c>
      <c r="I289" s="3" t="s">
        <v>6312</v>
      </c>
      <c r="J289" s="3" t="s">
        <v>5536</v>
      </c>
      <c r="K289" s="3" t="s">
        <v>6332</v>
      </c>
      <c r="L289" s="8" t="str">
        <f>HYPERLINK("http://slimages.macys.com/is/image/MCY/15439992 ")</f>
        <v xml:space="preserve">http://slimages.macys.com/is/image/MCY/15439992 </v>
      </c>
    </row>
    <row r="290" spans="1:12" ht="24.75" x14ac:dyDescent="0.25">
      <c r="A290" s="6" t="s">
        <v>4218</v>
      </c>
      <c r="B290" s="3" t="s">
        <v>4162</v>
      </c>
      <c r="C290" s="4">
        <v>1</v>
      </c>
      <c r="D290" s="5">
        <v>28</v>
      </c>
      <c r="E290" s="4" t="s">
        <v>4163</v>
      </c>
      <c r="F290" s="3" t="s">
        <v>5532</v>
      </c>
      <c r="G290" s="7" t="s">
        <v>5898</v>
      </c>
      <c r="H290" s="3" t="s">
        <v>6280</v>
      </c>
      <c r="I290" s="3" t="s">
        <v>6312</v>
      </c>
      <c r="J290" s="3" t="s">
        <v>5536</v>
      </c>
      <c r="K290" s="3" t="s">
        <v>6338</v>
      </c>
      <c r="L290" s="8" t="str">
        <f>HYPERLINK("http://slimages.macys.com/is/image/MCY/15439897 ")</f>
        <v xml:space="preserve">http://slimages.macys.com/is/image/MCY/15439897 </v>
      </c>
    </row>
    <row r="291" spans="1:12" ht="24.75" x14ac:dyDescent="0.25">
      <c r="A291" s="6" t="s">
        <v>5020</v>
      </c>
      <c r="B291" s="3" t="s">
        <v>4166</v>
      </c>
      <c r="C291" s="4">
        <v>2</v>
      </c>
      <c r="D291" s="5">
        <v>56</v>
      </c>
      <c r="E291" s="4" t="s">
        <v>4167</v>
      </c>
      <c r="F291" s="3" t="s">
        <v>6300</v>
      </c>
      <c r="G291" s="7" t="s">
        <v>5898</v>
      </c>
      <c r="H291" s="3" t="s">
        <v>6280</v>
      </c>
      <c r="I291" s="3" t="s">
        <v>6312</v>
      </c>
      <c r="J291" s="3" t="s">
        <v>5536</v>
      </c>
      <c r="K291" s="3" t="s">
        <v>6303</v>
      </c>
      <c r="L291" s="8" t="str">
        <f>HYPERLINK("http://slimages.macys.com/is/image/MCY/15346508 ")</f>
        <v xml:space="preserve">http://slimages.macys.com/is/image/MCY/15346508 </v>
      </c>
    </row>
    <row r="292" spans="1:12" ht="24.75" x14ac:dyDescent="0.25">
      <c r="A292" s="6" t="s">
        <v>5021</v>
      </c>
      <c r="B292" s="3" t="s">
        <v>5022</v>
      </c>
      <c r="C292" s="4">
        <v>1</v>
      </c>
      <c r="D292" s="5">
        <v>28</v>
      </c>
      <c r="E292" s="4" t="s">
        <v>5023</v>
      </c>
      <c r="F292" s="3" t="s">
        <v>6146</v>
      </c>
      <c r="G292" s="7" t="s">
        <v>5898</v>
      </c>
      <c r="H292" s="3" t="s">
        <v>6280</v>
      </c>
      <c r="I292" s="3" t="s">
        <v>6312</v>
      </c>
      <c r="J292" s="3" t="s">
        <v>5536</v>
      </c>
      <c r="K292" s="3" t="s">
        <v>6372</v>
      </c>
      <c r="L292" s="8" t="str">
        <f>HYPERLINK("http://slimages.macys.com/is/image/MCY/14802256 ")</f>
        <v xml:space="preserve">http://slimages.macys.com/is/image/MCY/14802256 </v>
      </c>
    </row>
    <row r="293" spans="1:12" ht="24.75" x14ac:dyDescent="0.25">
      <c r="A293" s="6" t="s">
        <v>5024</v>
      </c>
      <c r="B293" s="3" t="s">
        <v>5025</v>
      </c>
      <c r="C293" s="4">
        <v>2</v>
      </c>
      <c r="D293" s="5">
        <v>56</v>
      </c>
      <c r="E293" s="4" t="s">
        <v>4175</v>
      </c>
      <c r="F293" s="3" t="s">
        <v>5625</v>
      </c>
      <c r="G293" s="7" t="s">
        <v>5898</v>
      </c>
      <c r="H293" s="3" t="s">
        <v>6280</v>
      </c>
      <c r="I293" s="3" t="s">
        <v>6312</v>
      </c>
      <c r="J293" s="3" t="s">
        <v>5536</v>
      </c>
      <c r="K293" s="3" t="s">
        <v>6295</v>
      </c>
      <c r="L293" s="8" t="str">
        <f>HYPERLINK("http://slimages.macys.com/is/image/MCY/14373259 ")</f>
        <v xml:space="preserve">http://slimages.macys.com/is/image/MCY/14373259 </v>
      </c>
    </row>
    <row r="294" spans="1:12" ht="24.75" x14ac:dyDescent="0.25">
      <c r="A294" s="6" t="s">
        <v>4192</v>
      </c>
      <c r="B294" s="3" t="s">
        <v>4166</v>
      </c>
      <c r="C294" s="4">
        <v>2</v>
      </c>
      <c r="D294" s="5">
        <v>56</v>
      </c>
      <c r="E294" s="4" t="s">
        <v>4167</v>
      </c>
      <c r="F294" s="3" t="s">
        <v>6335</v>
      </c>
      <c r="G294" s="7" t="s">
        <v>5898</v>
      </c>
      <c r="H294" s="3" t="s">
        <v>6280</v>
      </c>
      <c r="I294" s="3" t="s">
        <v>6312</v>
      </c>
      <c r="J294" s="3" t="s">
        <v>5536</v>
      </c>
      <c r="K294" s="3" t="s">
        <v>6303</v>
      </c>
      <c r="L294" s="8" t="str">
        <f>HYPERLINK("http://slimages.macys.com/is/image/MCY/15346508 ")</f>
        <v xml:space="preserve">http://slimages.macys.com/is/image/MCY/15346508 </v>
      </c>
    </row>
    <row r="295" spans="1:12" ht="24.75" x14ac:dyDescent="0.25">
      <c r="A295" s="6" t="s">
        <v>4221</v>
      </c>
      <c r="B295" s="3" t="s">
        <v>4222</v>
      </c>
      <c r="C295" s="4">
        <v>2</v>
      </c>
      <c r="D295" s="5">
        <v>56</v>
      </c>
      <c r="E295" s="4" t="s">
        <v>4223</v>
      </c>
      <c r="F295" s="3" t="s">
        <v>6146</v>
      </c>
      <c r="G295" s="7" t="s">
        <v>5898</v>
      </c>
      <c r="H295" s="3" t="s">
        <v>6280</v>
      </c>
      <c r="I295" s="3" t="s">
        <v>6312</v>
      </c>
      <c r="J295" s="3" t="s">
        <v>5536</v>
      </c>
      <c r="K295" s="3" t="s">
        <v>4224</v>
      </c>
      <c r="L295" s="8" t="str">
        <f>HYPERLINK("http://slimages.macys.com/is/image/MCY/10137839 ")</f>
        <v xml:space="preserve">http://slimages.macys.com/is/image/MCY/10137839 </v>
      </c>
    </row>
    <row r="296" spans="1:12" ht="24.75" x14ac:dyDescent="0.25">
      <c r="A296" s="6" t="s">
        <v>4158</v>
      </c>
      <c r="B296" s="3" t="s">
        <v>4159</v>
      </c>
      <c r="C296" s="4">
        <v>1</v>
      </c>
      <c r="D296" s="5">
        <v>28</v>
      </c>
      <c r="E296" s="4" t="s">
        <v>4160</v>
      </c>
      <c r="F296" s="3" t="s">
        <v>6335</v>
      </c>
      <c r="G296" s="7" t="s">
        <v>5898</v>
      </c>
      <c r="H296" s="3" t="s">
        <v>6280</v>
      </c>
      <c r="I296" s="3" t="s">
        <v>6312</v>
      </c>
      <c r="J296" s="3" t="s">
        <v>5536</v>
      </c>
      <c r="K296" s="3" t="s">
        <v>6295</v>
      </c>
      <c r="L296" s="8" t="str">
        <f>HYPERLINK("http://slimages.macys.com/is/image/MCY/15882734 ")</f>
        <v xml:space="preserve">http://slimages.macys.com/is/image/MCY/15882734 </v>
      </c>
    </row>
    <row r="297" spans="1:12" ht="24.75" x14ac:dyDescent="0.25">
      <c r="A297" s="6" t="s">
        <v>4183</v>
      </c>
      <c r="B297" s="3" t="s">
        <v>6283</v>
      </c>
      <c r="C297" s="4">
        <v>1</v>
      </c>
      <c r="D297" s="5">
        <v>28</v>
      </c>
      <c r="E297" s="4">
        <v>81994507</v>
      </c>
      <c r="F297" s="3" t="s">
        <v>5625</v>
      </c>
      <c r="G297" s="7" t="s">
        <v>5898</v>
      </c>
      <c r="H297" s="3" t="s">
        <v>6280</v>
      </c>
      <c r="I297" s="3" t="s">
        <v>6281</v>
      </c>
      <c r="J297" s="3" t="s">
        <v>5536</v>
      </c>
      <c r="K297" s="3" t="s">
        <v>6284</v>
      </c>
      <c r="L297" s="8" t="str">
        <f>HYPERLINK("http://slimages.macys.com/is/image/MCY/15882899 ")</f>
        <v xml:space="preserve">http://slimages.macys.com/is/image/MCY/15882899 </v>
      </c>
    </row>
    <row r="298" spans="1:12" ht="24.75" x14ac:dyDescent="0.25">
      <c r="A298" s="6" t="s">
        <v>5026</v>
      </c>
      <c r="B298" s="3" t="s">
        <v>5027</v>
      </c>
      <c r="C298" s="4">
        <v>1</v>
      </c>
      <c r="D298" s="5">
        <v>28</v>
      </c>
      <c r="E298" s="4">
        <v>87974228</v>
      </c>
      <c r="F298" s="3" t="s">
        <v>5625</v>
      </c>
      <c r="G298" s="7" t="s">
        <v>5898</v>
      </c>
      <c r="H298" s="3" t="s">
        <v>6280</v>
      </c>
      <c r="I298" s="3" t="s">
        <v>6281</v>
      </c>
      <c r="J298" s="3" t="s">
        <v>5536</v>
      </c>
      <c r="K298" s="3" t="s">
        <v>5028</v>
      </c>
      <c r="L298" s="8" t="str">
        <f>HYPERLINK("http://slimages.macys.com/is/image/MCY/9013485 ")</f>
        <v xml:space="preserve">http://slimages.macys.com/is/image/MCY/9013485 </v>
      </c>
    </row>
    <row r="299" spans="1:12" ht="24.75" x14ac:dyDescent="0.25">
      <c r="A299" s="6" t="s">
        <v>5029</v>
      </c>
      <c r="B299" s="3" t="s">
        <v>4966</v>
      </c>
      <c r="C299" s="4">
        <v>1</v>
      </c>
      <c r="D299" s="5">
        <v>28</v>
      </c>
      <c r="E299" s="4" t="s">
        <v>4967</v>
      </c>
      <c r="F299" s="3" t="s">
        <v>6010</v>
      </c>
      <c r="G299" s="7" t="s">
        <v>5898</v>
      </c>
      <c r="H299" s="3" t="s">
        <v>6280</v>
      </c>
      <c r="I299" s="3" t="s">
        <v>6312</v>
      </c>
      <c r="J299" s="3" t="s">
        <v>5536</v>
      </c>
      <c r="K299" s="3" t="s">
        <v>6338</v>
      </c>
      <c r="L299" s="8" t="str">
        <f>HYPERLINK("http://slimages.macys.com/is/image/MCY/16186730 ")</f>
        <v xml:space="preserve">http://slimages.macys.com/is/image/MCY/16186730 </v>
      </c>
    </row>
    <row r="300" spans="1:12" ht="24.75" x14ac:dyDescent="0.25">
      <c r="A300" s="6" t="s">
        <v>4203</v>
      </c>
      <c r="B300" s="3" t="s">
        <v>4162</v>
      </c>
      <c r="C300" s="4">
        <v>1</v>
      </c>
      <c r="D300" s="5">
        <v>28</v>
      </c>
      <c r="E300" s="4" t="s">
        <v>4163</v>
      </c>
      <c r="F300" s="3" t="s">
        <v>6410</v>
      </c>
      <c r="G300" s="7" t="s">
        <v>5898</v>
      </c>
      <c r="H300" s="3" t="s">
        <v>6280</v>
      </c>
      <c r="I300" s="3" t="s">
        <v>6312</v>
      </c>
      <c r="J300" s="3" t="s">
        <v>5536</v>
      </c>
      <c r="K300" s="3" t="s">
        <v>6338</v>
      </c>
      <c r="L300" s="8" t="str">
        <f>HYPERLINK("http://slimages.macys.com/is/image/MCY/15439897 ")</f>
        <v xml:space="preserve">http://slimages.macys.com/is/image/MCY/15439897 </v>
      </c>
    </row>
    <row r="301" spans="1:12" ht="24.75" x14ac:dyDescent="0.25">
      <c r="A301" s="6" t="s">
        <v>4220</v>
      </c>
      <c r="B301" s="3" t="s">
        <v>6315</v>
      </c>
      <c r="C301" s="4">
        <v>2</v>
      </c>
      <c r="D301" s="5">
        <v>56</v>
      </c>
      <c r="E301" s="4">
        <v>87994301</v>
      </c>
      <c r="F301" s="3" t="s">
        <v>6983</v>
      </c>
      <c r="G301" s="7" t="s">
        <v>5898</v>
      </c>
      <c r="H301" s="3" t="s">
        <v>6280</v>
      </c>
      <c r="I301" s="3" t="s">
        <v>6281</v>
      </c>
      <c r="J301" s="3" t="s">
        <v>5536</v>
      </c>
      <c r="K301" s="3" t="s">
        <v>6316</v>
      </c>
      <c r="L301" s="8" t="str">
        <f>HYPERLINK("http://slimages.macys.com/is/image/MCY/15883995 ")</f>
        <v xml:space="preserve">http://slimages.macys.com/is/image/MCY/15883995 </v>
      </c>
    </row>
    <row r="302" spans="1:12" ht="24.75" x14ac:dyDescent="0.25">
      <c r="A302" s="6" t="s">
        <v>5030</v>
      </c>
      <c r="B302" s="3" t="s">
        <v>6381</v>
      </c>
      <c r="C302" s="4">
        <v>1</v>
      </c>
      <c r="D302" s="5">
        <v>28</v>
      </c>
      <c r="E302" s="4" t="s">
        <v>6382</v>
      </c>
      <c r="F302" s="3" t="s">
        <v>5566</v>
      </c>
      <c r="G302" s="7" t="s">
        <v>5898</v>
      </c>
      <c r="H302" s="3" t="s">
        <v>6280</v>
      </c>
      <c r="I302" s="3" t="s">
        <v>6288</v>
      </c>
      <c r="J302" s="3" t="s">
        <v>5536</v>
      </c>
      <c r="K302" s="3" t="s">
        <v>6295</v>
      </c>
      <c r="L302" s="8" t="str">
        <f>HYPERLINK("http://slimages.macys.com/is/image/MCY/14501691 ")</f>
        <v xml:space="preserve">http://slimages.macys.com/is/image/MCY/14501691 </v>
      </c>
    </row>
    <row r="303" spans="1:12" ht="24.75" x14ac:dyDescent="0.25">
      <c r="A303" s="6" t="s">
        <v>5031</v>
      </c>
      <c r="B303" s="3" t="s">
        <v>6341</v>
      </c>
      <c r="C303" s="4">
        <v>2</v>
      </c>
      <c r="D303" s="5">
        <v>56</v>
      </c>
      <c r="E303" s="4">
        <v>87994201</v>
      </c>
      <c r="F303" s="3" t="s">
        <v>5815</v>
      </c>
      <c r="G303" s="7" t="s">
        <v>5898</v>
      </c>
      <c r="H303" s="3" t="s">
        <v>6280</v>
      </c>
      <c r="I303" s="3" t="s">
        <v>6281</v>
      </c>
      <c r="J303" s="3" t="s">
        <v>5536</v>
      </c>
      <c r="K303" s="3" t="s">
        <v>6342</v>
      </c>
      <c r="L303" s="8" t="str">
        <f>HYPERLINK("http://slimages.macys.com/is/image/MCY/15147424 ")</f>
        <v xml:space="preserve">http://slimages.macys.com/is/image/MCY/15147424 </v>
      </c>
    </row>
    <row r="304" spans="1:12" ht="24.75" x14ac:dyDescent="0.25">
      <c r="A304" s="6" t="s">
        <v>5032</v>
      </c>
      <c r="B304" s="3" t="s">
        <v>4985</v>
      </c>
      <c r="C304" s="4">
        <v>1</v>
      </c>
      <c r="D304" s="5">
        <v>28</v>
      </c>
      <c r="E304" s="4">
        <v>87994407</v>
      </c>
      <c r="F304" s="3" t="s">
        <v>6217</v>
      </c>
      <c r="G304" s="7" t="s">
        <v>5898</v>
      </c>
      <c r="H304" s="3" t="s">
        <v>6280</v>
      </c>
      <c r="I304" s="3" t="s">
        <v>6281</v>
      </c>
      <c r="J304" s="3" t="s">
        <v>5536</v>
      </c>
      <c r="K304" s="3" t="s">
        <v>6292</v>
      </c>
      <c r="L304" s="8" t="str">
        <f>HYPERLINK("http://slimages.macys.com/is/image/MCY/16178870 ")</f>
        <v xml:space="preserve">http://slimages.macys.com/is/image/MCY/16178870 </v>
      </c>
    </row>
    <row r="305" spans="1:12" ht="24.75" x14ac:dyDescent="0.25">
      <c r="A305" s="6" t="s">
        <v>6363</v>
      </c>
      <c r="B305" s="3" t="s">
        <v>6341</v>
      </c>
      <c r="C305" s="4">
        <v>2</v>
      </c>
      <c r="D305" s="5">
        <v>56</v>
      </c>
      <c r="E305" s="4">
        <v>87994201</v>
      </c>
      <c r="F305" s="3" t="s">
        <v>5625</v>
      </c>
      <c r="G305" s="7" t="s">
        <v>5898</v>
      </c>
      <c r="H305" s="3" t="s">
        <v>6280</v>
      </c>
      <c r="I305" s="3" t="s">
        <v>6281</v>
      </c>
      <c r="J305" s="3" t="s">
        <v>5536</v>
      </c>
      <c r="K305" s="3" t="s">
        <v>6342</v>
      </c>
      <c r="L305" s="8" t="str">
        <f>HYPERLINK("http://slimages.macys.com/is/image/MCY/15147424 ")</f>
        <v xml:space="preserve">http://slimages.macys.com/is/image/MCY/15147424 </v>
      </c>
    </row>
    <row r="306" spans="1:12" ht="24.75" x14ac:dyDescent="0.25">
      <c r="A306" s="6" t="s">
        <v>5033</v>
      </c>
      <c r="B306" s="3" t="s">
        <v>5034</v>
      </c>
      <c r="C306" s="4">
        <v>1</v>
      </c>
      <c r="D306" s="5">
        <v>28</v>
      </c>
      <c r="E306" s="4" t="s">
        <v>5035</v>
      </c>
      <c r="F306" s="3" t="s">
        <v>5640</v>
      </c>
      <c r="G306" s="7" t="s">
        <v>5898</v>
      </c>
      <c r="H306" s="3" t="s">
        <v>6280</v>
      </c>
      <c r="I306" s="3" t="s">
        <v>6312</v>
      </c>
      <c r="J306" s="3" t="s">
        <v>5536</v>
      </c>
      <c r="K306" s="3" t="s">
        <v>6372</v>
      </c>
      <c r="L306" s="8" t="str">
        <f>HYPERLINK("http://slimages.macys.com/is/image/MCY/14804983 ")</f>
        <v xml:space="preserve">http://slimages.macys.com/is/image/MCY/14804983 </v>
      </c>
    </row>
    <row r="307" spans="1:12" ht="24.75" x14ac:dyDescent="0.25">
      <c r="A307" s="6" t="s">
        <v>6304</v>
      </c>
      <c r="B307" s="3" t="s">
        <v>6291</v>
      </c>
      <c r="C307" s="4">
        <v>1</v>
      </c>
      <c r="D307" s="5">
        <v>28</v>
      </c>
      <c r="E307" s="4">
        <v>87994501</v>
      </c>
      <c r="F307" s="3" t="s">
        <v>5661</v>
      </c>
      <c r="G307" s="7" t="s">
        <v>5898</v>
      </c>
      <c r="H307" s="3" t="s">
        <v>6280</v>
      </c>
      <c r="I307" s="3" t="s">
        <v>6281</v>
      </c>
      <c r="J307" s="3" t="s">
        <v>5536</v>
      </c>
      <c r="K307" s="3" t="s">
        <v>6292</v>
      </c>
      <c r="L307" s="8" t="str">
        <f>HYPERLINK("http://slimages.macys.com/is/image/MCY/16178983 ")</f>
        <v xml:space="preserve">http://slimages.macys.com/is/image/MCY/16178983 </v>
      </c>
    </row>
    <row r="308" spans="1:12" ht="24.75" x14ac:dyDescent="0.25">
      <c r="A308" s="6" t="s">
        <v>5036</v>
      </c>
      <c r="B308" s="3" t="s">
        <v>4985</v>
      </c>
      <c r="C308" s="4">
        <v>1</v>
      </c>
      <c r="D308" s="5">
        <v>28</v>
      </c>
      <c r="E308" s="4">
        <v>87994407</v>
      </c>
      <c r="F308" s="3" t="s">
        <v>6300</v>
      </c>
      <c r="G308" s="7" t="s">
        <v>5898</v>
      </c>
      <c r="H308" s="3" t="s">
        <v>6280</v>
      </c>
      <c r="I308" s="3" t="s">
        <v>6281</v>
      </c>
      <c r="J308" s="3" t="s">
        <v>5536</v>
      </c>
      <c r="K308" s="3" t="s">
        <v>6292</v>
      </c>
      <c r="L308" s="8" t="str">
        <f>HYPERLINK("http://slimages.macys.com/is/image/MCY/16178870 ")</f>
        <v xml:space="preserve">http://slimages.macys.com/is/image/MCY/16178870 </v>
      </c>
    </row>
    <row r="309" spans="1:12" ht="24.75" x14ac:dyDescent="0.25">
      <c r="A309" s="6" t="s">
        <v>6357</v>
      </c>
      <c r="B309" s="3" t="s">
        <v>6291</v>
      </c>
      <c r="C309" s="4">
        <v>1</v>
      </c>
      <c r="D309" s="5">
        <v>28</v>
      </c>
      <c r="E309" s="4">
        <v>87994501</v>
      </c>
      <c r="F309" s="3" t="s">
        <v>6300</v>
      </c>
      <c r="G309" s="7" t="s">
        <v>5898</v>
      </c>
      <c r="H309" s="3" t="s">
        <v>6280</v>
      </c>
      <c r="I309" s="3" t="s">
        <v>6281</v>
      </c>
      <c r="J309" s="3" t="s">
        <v>5536</v>
      </c>
      <c r="K309" s="3" t="s">
        <v>6292</v>
      </c>
      <c r="L309" s="8" t="str">
        <f>HYPERLINK("http://slimages.macys.com/is/image/MCY/16178983 ")</f>
        <v xml:space="preserve">http://slimages.macys.com/is/image/MCY/16178983 </v>
      </c>
    </row>
    <row r="310" spans="1:12" ht="36.75" x14ac:dyDescent="0.25">
      <c r="A310" s="6" t="s">
        <v>6318</v>
      </c>
      <c r="B310" s="3" t="s">
        <v>6319</v>
      </c>
      <c r="C310" s="4">
        <v>1</v>
      </c>
      <c r="D310" s="5">
        <v>28</v>
      </c>
      <c r="E310" s="4" t="s">
        <v>6320</v>
      </c>
      <c r="F310" s="3" t="s">
        <v>5754</v>
      </c>
      <c r="G310" s="7" t="s">
        <v>5898</v>
      </c>
      <c r="H310" s="3" t="s">
        <v>6280</v>
      </c>
      <c r="I310" s="3" t="s">
        <v>6288</v>
      </c>
      <c r="J310" s="3" t="s">
        <v>5536</v>
      </c>
      <c r="K310" s="3" t="s">
        <v>6321</v>
      </c>
      <c r="L310" s="8" t="str">
        <f>HYPERLINK("http://slimages.macys.com/is/image/MCY/15661626 ")</f>
        <v xml:space="preserve">http://slimages.macys.com/is/image/MCY/15661626 </v>
      </c>
    </row>
    <row r="311" spans="1:12" ht="24.75" x14ac:dyDescent="0.25">
      <c r="A311" s="6" t="s">
        <v>6377</v>
      </c>
      <c r="B311" s="3" t="s">
        <v>6378</v>
      </c>
      <c r="C311" s="4">
        <v>2</v>
      </c>
      <c r="D311" s="5">
        <v>56</v>
      </c>
      <c r="E311" s="4" t="s">
        <v>6379</v>
      </c>
      <c r="F311" s="3" t="s">
        <v>5532</v>
      </c>
      <c r="G311" s="7" t="s">
        <v>5898</v>
      </c>
      <c r="H311" s="3" t="s">
        <v>6280</v>
      </c>
      <c r="I311" s="3" t="s">
        <v>6288</v>
      </c>
      <c r="J311" s="3" t="s">
        <v>5536</v>
      </c>
      <c r="K311" s="3" t="s">
        <v>6295</v>
      </c>
      <c r="L311" s="8" t="str">
        <f>HYPERLINK("http://slimages.macys.com/is/image/MCY/15883244 ")</f>
        <v xml:space="preserve">http://slimages.macys.com/is/image/MCY/15883244 </v>
      </c>
    </row>
    <row r="312" spans="1:12" ht="24.75" x14ac:dyDescent="0.25">
      <c r="A312" s="6" t="s">
        <v>5037</v>
      </c>
      <c r="B312" s="3" t="s">
        <v>5038</v>
      </c>
      <c r="C312" s="4">
        <v>1</v>
      </c>
      <c r="D312" s="5">
        <v>40</v>
      </c>
      <c r="E312" s="4" t="s">
        <v>5039</v>
      </c>
      <c r="F312" s="3" t="s">
        <v>5783</v>
      </c>
      <c r="G312" s="7" t="s">
        <v>5533</v>
      </c>
      <c r="H312" s="3" t="s">
        <v>6019</v>
      </c>
      <c r="I312" s="3" t="s">
        <v>6020</v>
      </c>
      <c r="J312" s="3" t="s">
        <v>5536</v>
      </c>
      <c r="K312" s="3" t="s">
        <v>5594</v>
      </c>
      <c r="L312" s="8" t="str">
        <f>HYPERLINK("http://slimages.macys.com/is/image/MCY/15630003 ")</f>
        <v xml:space="preserve">http://slimages.macys.com/is/image/MCY/15630003 </v>
      </c>
    </row>
    <row r="313" spans="1:12" ht="24.75" x14ac:dyDescent="0.25">
      <c r="A313" s="6" t="s">
        <v>5040</v>
      </c>
      <c r="B313" s="3" t="s">
        <v>6471</v>
      </c>
      <c r="C313" s="4">
        <v>1</v>
      </c>
      <c r="D313" s="5">
        <v>23</v>
      </c>
      <c r="E313" s="4" t="s">
        <v>6472</v>
      </c>
      <c r="F313" s="3" t="s">
        <v>5532</v>
      </c>
      <c r="G313" s="7"/>
      <c r="H313" s="3" t="s">
        <v>5825</v>
      </c>
      <c r="I313" s="3" t="s">
        <v>5826</v>
      </c>
      <c r="J313" s="3" t="s">
        <v>5536</v>
      </c>
      <c r="K313" s="3" t="s">
        <v>5594</v>
      </c>
      <c r="L313" s="8" t="str">
        <f>HYPERLINK("http://slimages.macys.com/is/image/MCY/10267363 ")</f>
        <v xml:space="preserve">http://slimages.macys.com/is/image/MCY/10267363 </v>
      </c>
    </row>
    <row r="314" spans="1:12" ht="24.75" x14ac:dyDescent="0.25">
      <c r="A314" s="6" t="s">
        <v>6474</v>
      </c>
      <c r="B314" s="3" t="s">
        <v>6471</v>
      </c>
      <c r="C314" s="4">
        <v>1</v>
      </c>
      <c r="D314" s="5">
        <v>23</v>
      </c>
      <c r="E314" s="4" t="s">
        <v>6472</v>
      </c>
      <c r="F314" s="3" t="s">
        <v>5532</v>
      </c>
      <c r="G314" s="7" t="s">
        <v>5835</v>
      </c>
      <c r="H314" s="3" t="s">
        <v>5825</v>
      </c>
      <c r="I314" s="3" t="s">
        <v>5826</v>
      </c>
      <c r="J314" s="3" t="s">
        <v>5536</v>
      </c>
      <c r="K314" s="3" t="s">
        <v>5594</v>
      </c>
      <c r="L314" s="8" t="str">
        <f>HYPERLINK("http://slimages.macys.com/is/image/MCY/10267363 ")</f>
        <v xml:space="preserve">http://slimages.macys.com/is/image/MCY/10267363 </v>
      </c>
    </row>
    <row r="315" spans="1:12" ht="24.75" x14ac:dyDescent="0.25">
      <c r="A315" s="6" t="s">
        <v>6478</v>
      </c>
      <c r="B315" s="3" t="s">
        <v>6471</v>
      </c>
      <c r="C315" s="4">
        <v>1</v>
      </c>
      <c r="D315" s="5">
        <v>23</v>
      </c>
      <c r="E315" s="4" t="s">
        <v>6472</v>
      </c>
      <c r="F315" s="3" t="s">
        <v>5532</v>
      </c>
      <c r="G315" s="7" t="s">
        <v>5777</v>
      </c>
      <c r="H315" s="3" t="s">
        <v>5825</v>
      </c>
      <c r="I315" s="3" t="s">
        <v>5826</v>
      </c>
      <c r="J315" s="3" t="s">
        <v>5536</v>
      </c>
      <c r="K315" s="3" t="s">
        <v>5594</v>
      </c>
      <c r="L315" s="8" t="str">
        <f>HYPERLINK("http://slimages.macys.com/is/image/MCY/10267363 ")</f>
        <v xml:space="preserve">http://slimages.macys.com/is/image/MCY/10267363 </v>
      </c>
    </row>
    <row r="316" spans="1:12" ht="24.75" x14ac:dyDescent="0.25">
      <c r="A316" s="6" t="s">
        <v>5041</v>
      </c>
      <c r="B316" s="3" t="s">
        <v>6273</v>
      </c>
      <c r="C316" s="4">
        <v>1</v>
      </c>
      <c r="D316" s="5">
        <v>25</v>
      </c>
      <c r="E316" s="4" t="s">
        <v>6274</v>
      </c>
      <c r="F316" s="3" t="s">
        <v>4043</v>
      </c>
      <c r="G316" s="7"/>
      <c r="H316" s="3" t="s">
        <v>5825</v>
      </c>
      <c r="I316" s="3" t="s">
        <v>6265</v>
      </c>
      <c r="J316" s="3" t="s">
        <v>5536</v>
      </c>
      <c r="K316" s="3" t="s">
        <v>6266</v>
      </c>
      <c r="L316" s="8" t="str">
        <f>HYPERLINK("http://slimages.macys.com/is/image/MCY/11544590 ")</f>
        <v xml:space="preserve">http://slimages.macys.com/is/image/MCY/11544590 </v>
      </c>
    </row>
    <row r="317" spans="1:12" ht="24.75" x14ac:dyDescent="0.25">
      <c r="A317" s="6" t="s">
        <v>5042</v>
      </c>
      <c r="B317" s="3" t="s">
        <v>6273</v>
      </c>
      <c r="C317" s="4">
        <v>1</v>
      </c>
      <c r="D317" s="5">
        <v>25</v>
      </c>
      <c r="E317" s="4" t="s">
        <v>6274</v>
      </c>
      <c r="F317" s="3" t="s">
        <v>4043</v>
      </c>
      <c r="G317" s="7"/>
      <c r="H317" s="3" t="s">
        <v>5825</v>
      </c>
      <c r="I317" s="3" t="s">
        <v>6265</v>
      </c>
      <c r="J317" s="3" t="s">
        <v>5536</v>
      </c>
      <c r="K317" s="3" t="s">
        <v>6266</v>
      </c>
      <c r="L317" s="8" t="str">
        <f>HYPERLINK("http://slimages.macys.com/is/image/MCY/11544590 ")</f>
        <v xml:space="preserve">http://slimages.macys.com/is/image/MCY/11544590 </v>
      </c>
    </row>
    <row r="318" spans="1:12" ht="24.75" x14ac:dyDescent="0.25">
      <c r="A318" s="6" t="s">
        <v>5043</v>
      </c>
      <c r="B318" s="3" t="s">
        <v>6498</v>
      </c>
      <c r="C318" s="4">
        <v>1</v>
      </c>
      <c r="D318" s="5">
        <v>40</v>
      </c>
      <c r="E318" s="4" t="s">
        <v>6499</v>
      </c>
      <c r="F318" s="3" t="s">
        <v>5556</v>
      </c>
      <c r="G318" s="7" t="s">
        <v>6491</v>
      </c>
      <c r="H318" s="3" t="s">
        <v>6492</v>
      </c>
      <c r="I318" s="3" t="s">
        <v>6493</v>
      </c>
      <c r="J318" s="3" t="s">
        <v>5536</v>
      </c>
      <c r="K318" s="3" t="s">
        <v>5587</v>
      </c>
      <c r="L318" s="8" t="str">
        <f>HYPERLINK("http://slimages.macys.com/is/image/MCY/13286775 ")</f>
        <v xml:space="preserve">http://slimages.macys.com/is/image/MCY/13286775 </v>
      </c>
    </row>
    <row r="319" spans="1:12" ht="24.75" x14ac:dyDescent="0.25">
      <c r="A319" s="6" t="s">
        <v>5044</v>
      </c>
      <c r="B319" s="3" t="s">
        <v>6489</v>
      </c>
      <c r="C319" s="4">
        <v>1</v>
      </c>
      <c r="D319" s="5">
        <v>40</v>
      </c>
      <c r="E319" s="4" t="s">
        <v>6490</v>
      </c>
      <c r="F319" s="3" t="s">
        <v>5566</v>
      </c>
      <c r="G319" s="7" t="s">
        <v>4260</v>
      </c>
      <c r="H319" s="3" t="s">
        <v>6492</v>
      </c>
      <c r="I319" s="3" t="s">
        <v>6493</v>
      </c>
      <c r="J319" s="3" t="s">
        <v>5536</v>
      </c>
      <c r="K319" s="3" t="s">
        <v>6494</v>
      </c>
      <c r="L319" s="8" t="str">
        <f>HYPERLINK("http://slimages.macys.com/is/image/MCY/15892725 ")</f>
        <v xml:space="preserve">http://slimages.macys.com/is/image/MCY/15892725 </v>
      </c>
    </row>
    <row r="320" spans="1:12" ht="24.75" x14ac:dyDescent="0.25">
      <c r="A320" s="6" t="s">
        <v>5045</v>
      </c>
      <c r="B320" s="3" t="s">
        <v>5046</v>
      </c>
      <c r="C320" s="4">
        <v>1</v>
      </c>
      <c r="D320" s="5">
        <v>24.99</v>
      </c>
      <c r="E320" s="4" t="s">
        <v>5047</v>
      </c>
      <c r="F320" s="3" t="s">
        <v>5964</v>
      </c>
      <c r="G320" s="7" t="s">
        <v>6626</v>
      </c>
      <c r="H320" s="3" t="s">
        <v>6131</v>
      </c>
      <c r="I320" s="3" t="s">
        <v>6204</v>
      </c>
      <c r="J320" s="3" t="s">
        <v>5536</v>
      </c>
      <c r="K320" s="3" t="s">
        <v>6133</v>
      </c>
      <c r="L320" s="8" t="str">
        <f>HYPERLINK("http://slimages.macys.com/is/image/MCY/14392134 ")</f>
        <v xml:space="preserve">http://slimages.macys.com/is/image/MCY/14392134 </v>
      </c>
    </row>
    <row r="321" spans="1:12" x14ac:dyDescent="0.25">
      <c r="A321" s="6" t="s">
        <v>5048</v>
      </c>
      <c r="B321" s="3" t="s">
        <v>4262</v>
      </c>
      <c r="C321" s="4">
        <v>1</v>
      </c>
      <c r="D321" s="5">
        <v>34.99</v>
      </c>
      <c r="E321" s="4" t="s">
        <v>4263</v>
      </c>
      <c r="F321" s="3" t="s">
        <v>5820</v>
      </c>
      <c r="G321" s="7" t="s">
        <v>5560</v>
      </c>
      <c r="H321" s="3" t="s">
        <v>6003</v>
      </c>
      <c r="I321" s="3" t="s">
        <v>6004</v>
      </c>
      <c r="J321" s="3" t="s">
        <v>5536</v>
      </c>
      <c r="K321" s="3" t="s">
        <v>5574</v>
      </c>
      <c r="L321" s="8" t="str">
        <f>HYPERLINK("http://slimages.macys.com/is/image/MCY/15856089 ")</f>
        <v xml:space="preserve">http://slimages.macys.com/is/image/MCY/15856089 </v>
      </c>
    </row>
    <row r="322" spans="1:12" ht="24.75" x14ac:dyDescent="0.25">
      <c r="A322" s="6" t="s">
        <v>5049</v>
      </c>
      <c r="B322" s="3" t="s">
        <v>6263</v>
      </c>
      <c r="C322" s="4">
        <v>1</v>
      </c>
      <c r="D322" s="5">
        <v>25.5</v>
      </c>
      <c r="E322" s="4" t="s">
        <v>6264</v>
      </c>
      <c r="F322" s="3" t="s">
        <v>5578</v>
      </c>
      <c r="G322" s="7"/>
      <c r="H322" s="3" t="s">
        <v>5825</v>
      </c>
      <c r="I322" s="3" t="s">
        <v>6265</v>
      </c>
      <c r="J322" s="3" t="s">
        <v>5536</v>
      </c>
      <c r="K322" s="3" t="s">
        <v>6266</v>
      </c>
      <c r="L322" s="8" t="str">
        <f>HYPERLINK("http://slimages.macys.com/is/image/MCY/11518029 ")</f>
        <v xml:space="preserve">http://slimages.macys.com/is/image/MCY/11518029 </v>
      </c>
    </row>
    <row r="323" spans="1:12" ht="24.75" x14ac:dyDescent="0.25">
      <c r="A323" s="6" t="s">
        <v>6511</v>
      </c>
      <c r="B323" s="3" t="s">
        <v>6263</v>
      </c>
      <c r="C323" s="4">
        <v>4</v>
      </c>
      <c r="D323" s="5">
        <v>102</v>
      </c>
      <c r="E323" s="4" t="s">
        <v>6264</v>
      </c>
      <c r="F323" s="3" t="s">
        <v>5578</v>
      </c>
      <c r="G323" s="7"/>
      <c r="H323" s="3" t="s">
        <v>5825</v>
      </c>
      <c r="I323" s="3" t="s">
        <v>6265</v>
      </c>
      <c r="J323" s="3" t="s">
        <v>5536</v>
      </c>
      <c r="K323" s="3" t="s">
        <v>6266</v>
      </c>
      <c r="L323" s="8" t="str">
        <f>HYPERLINK("http://slimages.macys.com/is/image/MCY/11518029 ")</f>
        <v xml:space="preserve">http://slimages.macys.com/is/image/MCY/11518029 </v>
      </c>
    </row>
    <row r="324" spans="1:12" ht="24.75" x14ac:dyDescent="0.25">
      <c r="A324" s="6" t="s">
        <v>5050</v>
      </c>
      <c r="B324" s="3" t="s">
        <v>5051</v>
      </c>
      <c r="C324" s="4">
        <v>1</v>
      </c>
      <c r="D324" s="5">
        <v>25</v>
      </c>
      <c r="E324" s="4" t="s">
        <v>5052</v>
      </c>
      <c r="F324" s="3" t="s">
        <v>5532</v>
      </c>
      <c r="G324" s="7"/>
      <c r="H324" s="3" t="s">
        <v>5825</v>
      </c>
      <c r="I324" s="3" t="s">
        <v>6265</v>
      </c>
      <c r="J324" s="3" t="s">
        <v>5536</v>
      </c>
      <c r="K324" s="3" t="s">
        <v>6266</v>
      </c>
      <c r="L324" s="8" t="str">
        <f>HYPERLINK("http://slimages.macys.com/is/image/MCY/15216742 ")</f>
        <v xml:space="preserve">http://slimages.macys.com/is/image/MCY/15216742 </v>
      </c>
    </row>
    <row r="325" spans="1:12" ht="24.75" x14ac:dyDescent="0.25">
      <c r="A325" s="6" t="s">
        <v>6512</v>
      </c>
      <c r="B325" s="3" t="s">
        <v>6513</v>
      </c>
      <c r="C325" s="4">
        <v>12</v>
      </c>
      <c r="D325" s="5">
        <v>240</v>
      </c>
      <c r="E325" s="4" t="s">
        <v>6514</v>
      </c>
      <c r="F325" s="3" t="s">
        <v>5532</v>
      </c>
      <c r="G325" s="7" t="s">
        <v>5898</v>
      </c>
      <c r="H325" s="3" t="s">
        <v>6515</v>
      </c>
      <c r="I325" s="3" t="s">
        <v>6004</v>
      </c>
      <c r="J325" s="3" t="s">
        <v>5536</v>
      </c>
      <c r="K325" s="3" t="s">
        <v>5984</v>
      </c>
      <c r="L325" s="8" t="str">
        <f>HYPERLINK("http://slimages.macys.com/is/image/MCY/14573859 ")</f>
        <v xml:space="preserve">http://slimages.macys.com/is/image/MCY/14573859 </v>
      </c>
    </row>
    <row r="326" spans="1:12" ht="24.75" x14ac:dyDescent="0.25">
      <c r="A326" s="6" t="s">
        <v>5053</v>
      </c>
      <c r="B326" s="3" t="s">
        <v>6273</v>
      </c>
      <c r="C326" s="4">
        <v>1</v>
      </c>
      <c r="D326" s="5">
        <v>25</v>
      </c>
      <c r="E326" s="4" t="s">
        <v>6274</v>
      </c>
      <c r="F326" s="3" t="s">
        <v>5604</v>
      </c>
      <c r="G326" s="7"/>
      <c r="H326" s="3" t="s">
        <v>5825</v>
      </c>
      <c r="I326" s="3" t="s">
        <v>6265</v>
      </c>
      <c r="J326" s="3" t="s">
        <v>5536</v>
      </c>
      <c r="K326" s="3" t="s">
        <v>6266</v>
      </c>
      <c r="L326" s="8" t="str">
        <f>HYPERLINK("http://slimages.macys.com/is/image/MCY/11544590 ")</f>
        <v xml:space="preserve">http://slimages.macys.com/is/image/MCY/11544590 </v>
      </c>
    </row>
    <row r="327" spans="1:12" ht="24.75" x14ac:dyDescent="0.25">
      <c r="A327" s="6" t="s">
        <v>5054</v>
      </c>
      <c r="B327" s="3" t="s">
        <v>6273</v>
      </c>
      <c r="C327" s="4">
        <v>2</v>
      </c>
      <c r="D327" s="5">
        <v>50</v>
      </c>
      <c r="E327" s="4" t="s">
        <v>6274</v>
      </c>
      <c r="F327" s="3" t="s">
        <v>4043</v>
      </c>
      <c r="G327" s="7"/>
      <c r="H327" s="3" t="s">
        <v>5825</v>
      </c>
      <c r="I327" s="3" t="s">
        <v>6265</v>
      </c>
      <c r="J327" s="3" t="s">
        <v>5536</v>
      </c>
      <c r="K327" s="3" t="s">
        <v>6266</v>
      </c>
      <c r="L327" s="8" t="str">
        <f>HYPERLINK("http://slimages.macys.com/is/image/MCY/11544590 ")</f>
        <v xml:space="preserve">http://slimages.macys.com/is/image/MCY/11544590 </v>
      </c>
    </row>
    <row r="328" spans="1:12" ht="24.75" x14ac:dyDescent="0.25">
      <c r="A328" s="6" t="s">
        <v>5055</v>
      </c>
      <c r="B328" s="3" t="s">
        <v>6273</v>
      </c>
      <c r="C328" s="4">
        <v>1</v>
      </c>
      <c r="D328" s="5">
        <v>25</v>
      </c>
      <c r="E328" s="4" t="s">
        <v>6274</v>
      </c>
      <c r="F328" s="3" t="s">
        <v>5604</v>
      </c>
      <c r="G328" s="7"/>
      <c r="H328" s="3" t="s">
        <v>5825</v>
      </c>
      <c r="I328" s="3" t="s">
        <v>6265</v>
      </c>
      <c r="J328" s="3" t="s">
        <v>5536</v>
      </c>
      <c r="K328" s="3" t="s">
        <v>6266</v>
      </c>
      <c r="L328" s="8" t="str">
        <f>HYPERLINK("http://slimages.macys.com/is/image/MCY/11544590 ")</f>
        <v xml:space="preserve">http://slimages.macys.com/is/image/MCY/11544590 </v>
      </c>
    </row>
    <row r="329" spans="1:12" ht="24.75" x14ac:dyDescent="0.25">
      <c r="A329" s="6" t="s">
        <v>4257</v>
      </c>
      <c r="B329" s="3" t="s">
        <v>6273</v>
      </c>
      <c r="C329" s="4">
        <v>1</v>
      </c>
      <c r="D329" s="5">
        <v>25</v>
      </c>
      <c r="E329" s="4" t="s">
        <v>6274</v>
      </c>
      <c r="F329" s="3" t="s">
        <v>5604</v>
      </c>
      <c r="G329" s="7"/>
      <c r="H329" s="3" t="s">
        <v>5825</v>
      </c>
      <c r="I329" s="3" t="s">
        <v>6265</v>
      </c>
      <c r="J329" s="3" t="s">
        <v>5536</v>
      </c>
      <c r="K329" s="3" t="s">
        <v>6266</v>
      </c>
      <c r="L329" s="8" t="str">
        <f>HYPERLINK("http://slimages.macys.com/is/image/MCY/11544590 ")</f>
        <v xml:space="preserve">http://slimages.macys.com/is/image/MCY/11544590 </v>
      </c>
    </row>
    <row r="330" spans="1:12" x14ac:dyDescent="0.25">
      <c r="A330" s="6" t="s">
        <v>5056</v>
      </c>
      <c r="B330" s="3" t="s">
        <v>6544</v>
      </c>
      <c r="C330" s="4">
        <v>1</v>
      </c>
      <c r="D330" s="5">
        <v>29.5</v>
      </c>
      <c r="E330" s="4">
        <v>100086684</v>
      </c>
      <c r="F330" s="3" t="s">
        <v>5540</v>
      </c>
      <c r="G330" s="7" t="s">
        <v>5533</v>
      </c>
      <c r="H330" s="3" t="s">
        <v>5585</v>
      </c>
      <c r="I330" s="3" t="s">
        <v>5734</v>
      </c>
      <c r="J330" s="3" t="s">
        <v>5536</v>
      </c>
      <c r="K330" s="3" t="s">
        <v>5574</v>
      </c>
      <c r="L330" s="8" t="str">
        <f>HYPERLINK("http://slimages.macys.com/is/image/MCY/15889065 ")</f>
        <v xml:space="preserve">http://slimages.macys.com/is/image/MCY/15889065 </v>
      </c>
    </row>
    <row r="331" spans="1:12" x14ac:dyDescent="0.25">
      <c r="A331" s="6" t="s">
        <v>5057</v>
      </c>
      <c r="B331" s="3" t="s">
        <v>6544</v>
      </c>
      <c r="C331" s="4">
        <v>1</v>
      </c>
      <c r="D331" s="5">
        <v>29.5</v>
      </c>
      <c r="E331" s="4">
        <v>100086684</v>
      </c>
      <c r="F331" s="3" t="s">
        <v>5540</v>
      </c>
      <c r="G331" s="7" t="s">
        <v>5560</v>
      </c>
      <c r="H331" s="3" t="s">
        <v>5585</v>
      </c>
      <c r="I331" s="3" t="s">
        <v>5734</v>
      </c>
      <c r="J331" s="3" t="s">
        <v>5536</v>
      </c>
      <c r="K331" s="3" t="s">
        <v>5574</v>
      </c>
      <c r="L331" s="8" t="str">
        <f>HYPERLINK("http://slimages.macys.com/is/image/MCY/15889065 ")</f>
        <v xml:space="preserve">http://slimages.macys.com/is/image/MCY/15889065 </v>
      </c>
    </row>
    <row r="332" spans="1:12" x14ac:dyDescent="0.25">
      <c r="A332" s="6" t="s">
        <v>5058</v>
      </c>
      <c r="B332" s="3" t="s">
        <v>6544</v>
      </c>
      <c r="C332" s="4">
        <v>2</v>
      </c>
      <c r="D332" s="5">
        <v>59</v>
      </c>
      <c r="E332" s="4">
        <v>100086684</v>
      </c>
      <c r="F332" s="3" t="s">
        <v>5540</v>
      </c>
      <c r="G332" s="7" t="s">
        <v>5596</v>
      </c>
      <c r="H332" s="3" t="s">
        <v>5585</v>
      </c>
      <c r="I332" s="3" t="s">
        <v>5734</v>
      </c>
      <c r="J332" s="3" t="s">
        <v>5536</v>
      </c>
      <c r="K332" s="3" t="s">
        <v>5574</v>
      </c>
      <c r="L332" s="8" t="str">
        <f>HYPERLINK("http://slimages.macys.com/is/image/MCY/15889065 ")</f>
        <v xml:space="preserve">http://slimages.macys.com/is/image/MCY/15889065 </v>
      </c>
    </row>
    <row r="333" spans="1:12" ht="24.75" x14ac:dyDescent="0.25">
      <c r="A333" s="6" t="s">
        <v>5059</v>
      </c>
      <c r="B333" s="3" t="s">
        <v>6273</v>
      </c>
      <c r="C333" s="4">
        <v>2</v>
      </c>
      <c r="D333" s="5">
        <v>50</v>
      </c>
      <c r="E333" s="4" t="s">
        <v>6274</v>
      </c>
      <c r="F333" s="3" t="s">
        <v>5745</v>
      </c>
      <c r="G333" s="7"/>
      <c r="H333" s="3" t="s">
        <v>5825</v>
      </c>
      <c r="I333" s="3" t="s">
        <v>6265</v>
      </c>
      <c r="J333" s="3" t="s">
        <v>5536</v>
      </c>
      <c r="K333" s="3" t="s">
        <v>6266</v>
      </c>
      <c r="L333" s="8" t="str">
        <f>HYPERLINK("http://slimages.macys.com/is/image/MCY/9710602 ")</f>
        <v xml:space="preserve">http://slimages.macys.com/is/image/MCY/9710602 </v>
      </c>
    </row>
    <row r="334" spans="1:12" ht="24.75" x14ac:dyDescent="0.25">
      <c r="A334" s="6" t="s">
        <v>5060</v>
      </c>
      <c r="B334" s="3" t="s">
        <v>6273</v>
      </c>
      <c r="C334" s="4">
        <v>1</v>
      </c>
      <c r="D334" s="5">
        <v>25</v>
      </c>
      <c r="E334" s="4" t="s">
        <v>6274</v>
      </c>
      <c r="F334" s="3" t="s">
        <v>5745</v>
      </c>
      <c r="G334" s="7"/>
      <c r="H334" s="3" t="s">
        <v>5825</v>
      </c>
      <c r="I334" s="3" t="s">
        <v>6265</v>
      </c>
      <c r="J334" s="3" t="s">
        <v>5536</v>
      </c>
      <c r="K334" s="3" t="s">
        <v>6266</v>
      </c>
      <c r="L334" s="8" t="str">
        <f>HYPERLINK("http://slimages.macys.com/is/image/MCY/9710602 ")</f>
        <v xml:space="preserve">http://slimages.macys.com/is/image/MCY/9710602 </v>
      </c>
    </row>
    <row r="335" spans="1:12" ht="24.75" x14ac:dyDescent="0.25">
      <c r="A335" s="6" t="s">
        <v>5061</v>
      </c>
      <c r="B335" s="3" t="s">
        <v>6554</v>
      </c>
      <c r="C335" s="4">
        <v>1</v>
      </c>
      <c r="D335" s="5">
        <v>23</v>
      </c>
      <c r="E335" s="4" t="s">
        <v>6555</v>
      </c>
      <c r="F335" s="3" t="s">
        <v>5661</v>
      </c>
      <c r="G335" s="7" t="s">
        <v>6476</v>
      </c>
      <c r="H335" s="3" t="s">
        <v>5825</v>
      </c>
      <c r="I335" s="3" t="s">
        <v>5826</v>
      </c>
      <c r="J335" s="3" t="s">
        <v>5536</v>
      </c>
      <c r="K335" s="3" t="s">
        <v>5553</v>
      </c>
      <c r="L335" s="8" t="str">
        <f>HYPERLINK("http://slimages.macys.com/is/image/MCY/9748928 ")</f>
        <v xml:space="preserve">http://slimages.macys.com/is/image/MCY/9748928 </v>
      </c>
    </row>
    <row r="336" spans="1:12" ht="24.75" x14ac:dyDescent="0.25">
      <c r="A336" s="6" t="s">
        <v>5062</v>
      </c>
      <c r="B336" s="3" t="s">
        <v>6554</v>
      </c>
      <c r="C336" s="4">
        <v>1</v>
      </c>
      <c r="D336" s="5">
        <v>23</v>
      </c>
      <c r="E336" s="4" t="s">
        <v>6555</v>
      </c>
      <c r="F336" s="3" t="s">
        <v>5625</v>
      </c>
      <c r="G336" s="7" t="s">
        <v>5760</v>
      </c>
      <c r="H336" s="3" t="s">
        <v>5825</v>
      </c>
      <c r="I336" s="3" t="s">
        <v>5826</v>
      </c>
      <c r="J336" s="3" t="s">
        <v>5536</v>
      </c>
      <c r="K336" s="3" t="s">
        <v>5553</v>
      </c>
      <c r="L336" s="8" t="str">
        <f>HYPERLINK("http://slimages.macys.com/is/image/MCY/11532582 ")</f>
        <v xml:space="preserve">http://slimages.macys.com/is/image/MCY/11532582 </v>
      </c>
    </row>
    <row r="337" spans="1:12" ht="24.75" x14ac:dyDescent="0.25">
      <c r="A337" s="6" t="s">
        <v>5063</v>
      </c>
      <c r="B337" s="3" t="s">
        <v>6554</v>
      </c>
      <c r="C337" s="4">
        <v>1</v>
      </c>
      <c r="D337" s="5">
        <v>23</v>
      </c>
      <c r="E337" s="4" t="s">
        <v>6555</v>
      </c>
      <c r="F337" s="3" t="s">
        <v>5661</v>
      </c>
      <c r="G337" s="7" t="s">
        <v>5766</v>
      </c>
      <c r="H337" s="3" t="s">
        <v>5825</v>
      </c>
      <c r="I337" s="3" t="s">
        <v>5826</v>
      </c>
      <c r="J337" s="3" t="s">
        <v>5536</v>
      </c>
      <c r="K337" s="3" t="s">
        <v>5553</v>
      </c>
      <c r="L337" s="8" t="str">
        <f>HYPERLINK("http://slimages.macys.com/is/image/MCY/9748928 ")</f>
        <v xml:space="preserve">http://slimages.macys.com/is/image/MCY/9748928 </v>
      </c>
    </row>
    <row r="338" spans="1:12" ht="24.75" x14ac:dyDescent="0.25">
      <c r="A338" s="6" t="s">
        <v>5064</v>
      </c>
      <c r="B338" s="3" t="s">
        <v>6558</v>
      </c>
      <c r="C338" s="4">
        <v>1</v>
      </c>
      <c r="D338" s="5">
        <v>34.99</v>
      </c>
      <c r="E338" s="4" t="s">
        <v>6559</v>
      </c>
      <c r="F338" s="3" t="s">
        <v>6075</v>
      </c>
      <c r="G338" s="7" t="s">
        <v>5596</v>
      </c>
      <c r="H338" s="3" t="s">
        <v>5978</v>
      </c>
      <c r="I338" s="3" t="s">
        <v>5979</v>
      </c>
      <c r="J338" s="3" t="s">
        <v>5536</v>
      </c>
      <c r="K338" s="3" t="s">
        <v>5864</v>
      </c>
      <c r="L338" s="8" t="str">
        <f>HYPERLINK("http://slimages.macys.com/is/image/MCY/15250545 ")</f>
        <v xml:space="preserve">http://slimages.macys.com/is/image/MCY/15250545 </v>
      </c>
    </row>
    <row r="339" spans="1:12" ht="24.75" x14ac:dyDescent="0.25">
      <c r="A339" s="6" t="s">
        <v>5065</v>
      </c>
      <c r="B339" s="3" t="s">
        <v>6558</v>
      </c>
      <c r="C339" s="4">
        <v>2</v>
      </c>
      <c r="D339" s="5">
        <v>69.98</v>
      </c>
      <c r="E339" s="4" t="s">
        <v>6559</v>
      </c>
      <c r="F339" s="3" t="s">
        <v>6075</v>
      </c>
      <c r="G339" s="7" t="s">
        <v>5533</v>
      </c>
      <c r="H339" s="3" t="s">
        <v>5978</v>
      </c>
      <c r="I339" s="3" t="s">
        <v>5979</v>
      </c>
      <c r="J339" s="3" t="s">
        <v>5536</v>
      </c>
      <c r="K339" s="3" t="s">
        <v>5864</v>
      </c>
      <c r="L339" s="8" t="str">
        <f>HYPERLINK("http://slimages.macys.com/is/image/MCY/15250545 ")</f>
        <v xml:space="preserve">http://slimages.macys.com/is/image/MCY/15250545 </v>
      </c>
    </row>
    <row r="340" spans="1:12" ht="24.75" x14ac:dyDescent="0.25">
      <c r="A340" s="6" t="s">
        <v>5066</v>
      </c>
      <c r="B340" s="3" t="s">
        <v>5067</v>
      </c>
      <c r="C340" s="4">
        <v>1</v>
      </c>
      <c r="D340" s="5">
        <v>23</v>
      </c>
      <c r="E340" s="4">
        <v>100019475</v>
      </c>
      <c r="F340" s="3" t="s">
        <v>5532</v>
      </c>
      <c r="G340" s="7" t="s">
        <v>6025</v>
      </c>
      <c r="H340" s="3" t="s">
        <v>5825</v>
      </c>
      <c r="I340" s="3" t="s">
        <v>5826</v>
      </c>
      <c r="J340" s="3" t="s">
        <v>5536</v>
      </c>
      <c r="K340" s="3" t="s">
        <v>5594</v>
      </c>
      <c r="L340" s="8" t="str">
        <f>HYPERLINK("http://slimages.macys.com/is/image/MCY/9512821 ")</f>
        <v xml:space="preserve">http://slimages.macys.com/is/image/MCY/9512821 </v>
      </c>
    </row>
    <row r="341" spans="1:12" ht="24.75" x14ac:dyDescent="0.25">
      <c r="A341" s="6" t="s">
        <v>5068</v>
      </c>
      <c r="B341" s="3" t="s">
        <v>5067</v>
      </c>
      <c r="C341" s="4">
        <v>1</v>
      </c>
      <c r="D341" s="5">
        <v>23</v>
      </c>
      <c r="E341" s="4">
        <v>100019475</v>
      </c>
      <c r="F341" s="3" t="s">
        <v>5532</v>
      </c>
      <c r="G341" s="7"/>
      <c r="H341" s="3" t="s">
        <v>5825</v>
      </c>
      <c r="I341" s="3" t="s">
        <v>5826</v>
      </c>
      <c r="J341" s="3" t="s">
        <v>5536</v>
      </c>
      <c r="K341" s="3" t="s">
        <v>5594</v>
      </c>
      <c r="L341" s="8" t="str">
        <f>HYPERLINK("http://slimages.macys.com/is/image/MCY/9512821 ")</f>
        <v xml:space="preserve">http://slimages.macys.com/is/image/MCY/9512821 </v>
      </c>
    </row>
    <row r="342" spans="1:12" ht="24.75" x14ac:dyDescent="0.25">
      <c r="A342" s="6" t="s">
        <v>5069</v>
      </c>
      <c r="B342" s="3" t="s">
        <v>5067</v>
      </c>
      <c r="C342" s="4">
        <v>1</v>
      </c>
      <c r="D342" s="5">
        <v>23</v>
      </c>
      <c r="E342" s="4">
        <v>100019475</v>
      </c>
      <c r="F342" s="3" t="s">
        <v>5532</v>
      </c>
      <c r="G342" s="7" t="s">
        <v>5766</v>
      </c>
      <c r="H342" s="3" t="s">
        <v>5825</v>
      </c>
      <c r="I342" s="3" t="s">
        <v>5826</v>
      </c>
      <c r="J342" s="3" t="s">
        <v>5536</v>
      </c>
      <c r="K342" s="3" t="s">
        <v>5594</v>
      </c>
      <c r="L342" s="8" t="str">
        <f>HYPERLINK("http://slimages.macys.com/is/image/MCY/9512821 ")</f>
        <v xml:space="preserve">http://slimages.macys.com/is/image/MCY/9512821 </v>
      </c>
    </row>
    <row r="343" spans="1:12" ht="24.75" x14ac:dyDescent="0.25">
      <c r="A343" s="6" t="s">
        <v>5070</v>
      </c>
      <c r="B343" s="3" t="s">
        <v>5071</v>
      </c>
      <c r="C343" s="4">
        <v>1</v>
      </c>
      <c r="D343" s="5">
        <v>26</v>
      </c>
      <c r="E343" s="4" t="s">
        <v>5072</v>
      </c>
      <c r="F343" s="3" t="s">
        <v>6300</v>
      </c>
      <c r="G343" s="7" t="s">
        <v>5560</v>
      </c>
      <c r="H343" s="3" t="s">
        <v>6492</v>
      </c>
      <c r="I343" s="3" t="s">
        <v>6548</v>
      </c>
      <c r="J343" s="3" t="s">
        <v>5536</v>
      </c>
      <c r="K343" s="3" t="s">
        <v>5594</v>
      </c>
      <c r="L343" s="8" t="str">
        <f>HYPERLINK("http://slimages.macys.com/is/image/MCY/14540381 ")</f>
        <v xml:space="preserve">http://slimages.macys.com/is/image/MCY/14540381 </v>
      </c>
    </row>
    <row r="344" spans="1:12" ht="24.75" x14ac:dyDescent="0.25">
      <c r="A344" s="6" t="s">
        <v>6565</v>
      </c>
      <c r="B344" s="3" t="s">
        <v>6566</v>
      </c>
      <c r="C344" s="4">
        <v>1</v>
      </c>
      <c r="D344" s="5">
        <v>23</v>
      </c>
      <c r="E344" s="4">
        <v>100019476</v>
      </c>
      <c r="F344" s="3" t="s">
        <v>5783</v>
      </c>
      <c r="G344" s="7"/>
      <c r="H344" s="3" t="s">
        <v>5825</v>
      </c>
      <c r="I344" s="3" t="s">
        <v>5826</v>
      </c>
      <c r="J344" s="3" t="s">
        <v>5536</v>
      </c>
      <c r="K344" s="3" t="s">
        <v>5594</v>
      </c>
      <c r="L344" s="8" t="str">
        <f>HYPERLINK("http://slimages.macys.com/is/image/MCY/9512821 ")</f>
        <v xml:space="preserve">http://slimages.macys.com/is/image/MCY/9512821 </v>
      </c>
    </row>
    <row r="345" spans="1:12" ht="24.75" x14ac:dyDescent="0.25">
      <c r="A345" s="6" t="s">
        <v>5073</v>
      </c>
      <c r="B345" s="3" t="s">
        <v>6566</v>
      </c>
      <c r="C345" s="4">
        <v>1</v>
      </c>
      <c r="D345" s="5">
        <v>23</v>
      </c>
      <c r="E345" s="4">
        <v>100019476</v>
      </c>
      <c r="F345" s="3" t="s">
        <v>5783</v>
      </c>
      <c r="G345" s="7" t="s">
        <v>5766</v>
      </c>
      <c r="H345" s="3" t="s">
        <v>5825</v>
      </c>
      <c r="I345" s="3" t="s">
        <v>5826</v>
      </c>
      <c r="J345" s="3" t="s">
        <v>5536</v>
      </c>
      <c r="K345" s="3" t="s">
        <v>5594</v>
      </c>
      <c r="L345" s="8" t="str">
        <f>HYPERLINK("http://slimages.macys.com/is/image/MCY/9512821 ")</f>
        <v xml:space="preserve">http://slimages.macys.com/is/image/MCY/9512821 </v>
      </c>
    </row>
    <row r="346" spans="1:12" ht="24.75" x14ac:dyDescent="0.25">
      <c r="A346" s="6" t="s">
        <v>5074</v>
      </c>
      <c r="B346" s="3" t="s">
        <v>5075</v>
      </c>
      <c r="C346" s="4">
        <v>1</v>
      </c>
      <c r="D346" s="5">
        <v>20</v>
      </c>
      <c r="E346" s="4">
        <v>100019359</v>
      </c>
      <c r="F346" s="3" t="s">
        <v>5532</v>
      </c>
      <c r="G346" s="7" t="s">
        <v>5076</v>
      </c>
      <c r="H346" s="3" t="s">
        <v>5825</v>
      </c>
      <c r="I346" s="3" t="s">
        <v>5826</v>
      </c>
      <c r="J346" s="3" t="s">
        <v>5536</v>
      </c>
      <c r="K346" s="3" t="s">
        <v>5594</v>
      </c>
      <c r="L346" s="8" t="str">
        <f>HYPERLINK("http://slimages.macys.com/is/image/MCY/9394966 ")</f>
        <v xml:space="preserve">http://slimages.macys.com/is/image/MCY/9394966 </v>
      </c>
    </row>
    <row r="347" spans="1:12" ht="24.75" x14ac:dyDescent="0.25">
      <c r="A347" s="6" t="s">
        <v>6577</v>
      </c>
      <c r="B347" s="3" t="s">
        <v>6575</v>
      </c>
      <c r="C347" s="4">
        <v>1</v>
      </c>
      <c r="D347" s="5">
        <v>23</v>
      </c>
      <c r="E347" s="4" t="s">
        <v>6576</v>
      </c>
      <c r="F347" s="3" t="s">
        <v>5532</v>
      </c>
      <c r="G347" s="7" t="s">
        <v>5779</v>
      </c>
      <c r="H347" s="3" t="s">
        <v>5825</v>
      </c>
      <c r="I347" s="3" t="s">
        <v>5826</v>
      </c>
      <c r="J347" s="3" t="s">
        <v>5536</v>
      </c>
      <c r="K347" s="3" t="s">
        <v>5549</v>
      </c>
      <c r="L347" s="8" t="str">
        <f>HYPERLINK("http://slimages.macys.com/is/image/MCY/14532354 ")</f>
        <v xml:space="preserve">http://slimages.macys.com/is/image/MCY/14532354 </v>
      </c>
    </row>
    <row r="348" spans="1:12" ht="24.75" x14ac:dyDescent="0.25">
      <c r="A348" s="6" t="s">
        <v>6594</v>
      </c>
      <c r="B348" s="3" t="s">
        <v>6583</v>
      </c>
      <c r="C348" s="4">
        <v>2</v>
      </c>
      <c r="D348" s="5">
        <v>46</v>
      </c>
      <c r="E348" s="4">
        <v>100019474</v>
      </c>
      <c r="F348" s="3" t="s">
        <v>5532</v>
      </c>
      <c r="G348" s="7" t="s">
        <v>5766</v>
      </c>
      <c r="H348" s="3" t="s">
        <v>5825</v>
      </c>
      <c r="I348" s="3" t="s">
        <v>5826</v>
      </c>
      <c r="J348" s="3" t="s">
        <v>5536</v>
      </c>
      <c r="K348" s="3" t="s">
        <v>5594</v>
      </c>
      <c r="L348" s="8" t="str">
        <f>HYPERLINK("http://slimages.macys.com/is/image/MCY/9758508 ")</f>
        <v xml:space="preserve">http://slimages.macys.com/is/image/MCY/9758508 </v>
      </c>
    </row>
    <row r="349" spans="1:12" ht="24.75" x14ac:dyDescent="0.25">
      <c r="A349" s="6" t="s">
        <v>6585</v>
      </c>
      <c r="B349" s="3" t="s">
        <v>6583</v>
      </c>
      <c r="C349" s="4">
        <v>2</v>
      </c>
      <c r="D349" s="5">
        <v>46</v>
      </c>
      <c r="E349" s="4">
        <v>100019474</v>
      </c>
      <c r="F349" s="3" t="s">
        <v>5532</v>
      </c>
      <c r="G349" s="7" t="s">
        <v>5835</v>
      </c>
      <c r="H349" s="3" t="s">
        <v>5825</v>
      </c>
      <c r="I349" s="3" t="s">
        <v>5826</v>
      </c>
      <c r="J349" s="3" t="s">
        <v>5536</v>
      </c>
      <c r="K349" s="3" t="s">
        <v>5594</v>
      </c>
      <c r="L349" s="8" t="str">
        <f>HYPERLINK("http://slimages.macys.com/is/image/MCY/9758508 ")</f>
        <v xml:space="preserve">http://slimages.macys.com/is/image/MCY/9758508 </v>
      </c>
    </row>
    <row r="350" spans="1:12" ht="24.75" x14ac:dyDescent="0.25">
      <c r="A350" s="6" t="s">
        <v>5077</v>
      </c>
      <c r="B350" s="3" t="s">
        <v>6583</v>
      </c>
      <c r="C350" s="4">
        <v>1</v>
      </c>
      <c r="D350" s="5">
        <v>23</v>
      </c>
      <c r="E350" s="4">
        <v>100019474</v>
      </c>
      <c r="F350" s="3" t="s">
        <v>5532</v>
      </c>
      <c r="G350" s="7" t="s">
        <v>5762</v>
      </c>
      <c r="H350" s="3" t="s">
        <v>5825</v>
      </c>
      <c r="I350" s="3" t="s">
        <v>5826</v>
      </c>
      <c r="J350" s="3" t="s">
        <v>5536</v>
      </c>
      <c r="K350" s="3" t="s">
        <v>5594</v>
      </c>
      <c r="L350" s="8" t="str">
        <f>HYPERLINK("http://slimages.macys.com/is/image/MCY/9758508 ")</f>
        <v xml:space="preserve">http://slimages.macys.com/is/image/MCY/9758508 </v>
      </c>
    </row>
    <row r="351" spans="1:12" ht="24.75" x14ac:dyDescent="0.25">
      <c r="A351" s="6" t="s">
        <v>6593</v>
      </c>
      <c r="B351" s="3" t="s">
        <v>6583</v>
      </c>
      <c r="C351" s="4">
        <v>1</v>
      </c>
      <c r="D351" s="5">
        <v>23</v>
      </c>
      <c r="E351" s="4">
        <v>100019474</v>
      </c>
      <c r="F351" s="3" t="s">
        <v>5532</v>
      </c>
      <c r="G351" s="7" t="s">
        <v>5824</v>
      </c>
      <c r="H351" s="3" t="s">
        <v>5825</v>
      </c>
      <c r="I351" s="3" t="s">
        <v>5826</v>
      </c>
      <c r="J351" s="3" t="s">
        <v>5536</v>
      </c>
      <c r="K351" s="3" t="s">
        <v>5594</v>
      </c>
      <c r="L351" s="8" t="str">
        <f>HYPERLINK("http://slimages.macys.com/is/image/MCY/9758508 ")</f>
        <v xml:space="preserve">http://slimages.macys.com/is/image/MCY/9758508 </v>
      </c>
    </row>
    <row r="352" spans="1:12" ht="24.75" x14ac:dyDescent="0.25">
      <c r="A352" s="6" t="s">
        <v>5078</v>
      </c>
      <c r="B352" s="3" t="s">
        <v>6581</v>
      </c>
      <c r="C352" s="4">
        <v>1</v>
      </c>
      <c r="D352" s="5">
        <v>23</v>
      </c>
      <c r="E352" s="4">
        <v>100005324</v>
      </c>
      <c r="F352" s="3" t="s">
        <v>5532</v>
      </c>
      <c r="G352" s="7" t="s">
        <v>5777</v>
      </c>
      <c r="H352" s="3" t="s">
        <v>5825</v>
      </c>
      <c r="I352" s="3" t="s">
        <v>5826</v>
      </c>
      <c r="J352" s="3" t="s">
        <v>5536</v>
      </c>
      <c r="K352" s="3" t="s">
        <v>5594</v>
      </c>
      <c r="L352" s="8" t="str">
        <f>HYPERLINK("http://slimages.macys.com/is/image/MCY/9267398 ")</f>
        <v xml:space="preserve">http://slimages.macys.com/is/image/MCY/9267398 </v>
      </c>
    </row>
    <row r="353" spans="1:12" ht="24.75" x14ac:dyDescent="0.25">
      <c r="A353" s="6" t="s">
        <v>6592</v>
      </c>
      <c r="B353" s="3" t="s">
        <v>6581</v>
      </c>
      <c r="C353" s="4">
        <v>2</v>
      </c>
      <c r="D353" s="5">
        <v>46</v>
      </c>
      <c r="E353" s="4">
        <v>100005324</v>
      </c>
      <c r="F353" s="3" t="s">
        <v>5532</v>
      </c>
      <c r="G353" s="7" t="s">
        <v>5835</v>
      </c>
      <c r="H353" s="3" t="s">
        <v>5825</v>
      </c>
      <c r="I353" s="3" t="s">
        <v>5826</v>
      </c>
      <c r="J353" s="3" t="s">
        <v>5536</v>
      </c>
      <c r="K353" s="3" t="s">
        <v>5594</v>
      </c>
      <c r="L353" s="8" t="str">
        <f>HYPERLINK("http://slimages.macys.com/is/image/MCY/9267398 ")</f>
        <v xml:space="preserve">http://slimages.macys.com/is/image/MCY/9267398 </v>
      </c>
    </row>
    <row r="354" spans="1:12" ht="24.75" x14ac:dyDescent="0.25">
      <c r="A354" s="6" t="s">
        <v>6591</v>
      </c>
      <c r="B354" s="3" t="s">
        <v>6581</v>
      </c>
      <c r="C354" s="4">
        <v>2</v>
      </c>
      <c r="D354" s="5">
        <v>46</v>
      </c>
      <c r="E354" s="4">
        <v>100005324</v>
      </c>
      <c r="F354" s="3" t="s">
        <v>5532</v>
      </c>
      <c r="G354" s="7"/>
      <c r="H354" s="3" t="s">
        <v>5825</v>
      </c>
      <c r="I354" s="3" t="s">
        <v>5826</v>
      </c>
      <c r="J354" s="3" t="s">
        <v>5536</v>
      </c>
      <c r="K354" s="3" t="s">
        <v>5594</v>
      </c>
      <c r="L354" s="8" t="str">
        <f>HYPERLINK("http://slimages.macys.com/is/image/MCY/9267398 ")</f>
        <v xml:space="preserve">http://slimages.macys.com/is/image/MCY/9267398 </v>
      </c>
    </row>
    <row r="355" spans="1:12" ht="24.75" x14ac:dyDescent="0.25">
      <c r="A355" s="6" t="s">
        <v>5079</v>
      </c>
      <c r="B355" s="3" t="s">
        <v>6583</v>
      </c>
      <c r="C355" s="4">
        <v>1</v>
      </c>
      <c r="D355" s="5">
        <v>23</v>
      </c>
      <c r="E355" s="4">
        <v>100019474</v>
      </c>
      <c r="F355" s="3" t="s">
        <v>5532</v>
      </c>
      <c r="G355" s="7" t="s">
        <v>5760</v>
      </c>
      <c r="H355" s="3" t="s">
        <v>5825</v>
      </c>
      <c r="I355" s="3" t="s">
        <v>5826</v>
      </c>
      <c r="J355" s="3" t="s">
        <v>5536</v>
      </c>
      <c r="K355" s="3" t="s">
        <v>5594</v>
      </c>
      <c r="L355" s="8" t="str">
        <f>HYPERLINK("http://slimages.macys.com/is/image/MCY/9758508 ")</f>
        <v xml:space="preserve">http://slimages.macys.com/is/image/MCY/9758508 </v>
      </c>
    </row>
    <row r="356" spans="1:12" ht="24.75" x14ac:dyDescent="0.25">
      <c r="A356" s="6" t="s">
        <v>5080</v>
      </c>
      <c r="B356" s="3" t="s">
        <v>5081</v>
      </c>
      <c r="C356" s="4">
        <v>2</v>
      </c>
      <c r="D356" s="5">
        <v>48</v>
      </c>
      <c r="E356" s="4">
        <v>100005699</v>
      </c>
      <c r="F356" s="3" t="s">
        <v>5540</v>
      </c>
      <c r="G356" s="7"/>
      <c r="H356" s="3" t="s">
        <v>5825</v>
      </c>
      <c r="I356" s="3" t="s">
        <v>6673</v>
      </c>
      <c r="J356" s="3" t="s">
        <v>5536</v>
      </c>
      <c r="K356" s="3" t="s">
        <v>5553</v>
      </c>
      <c r="L356" s="8" t="str">
        <f>HYPERLINK("http://slimages.macys.com/is/image/MCY/8974187 ")</f>
        <v xml:space="preserve">http://slimages.macys.com/is/image/MCY/8974187 </v>
      </c>
    </row>
    <row r="357" spans="1:12" x14ac:dyDescent="0.25">
      <c r="A357" s="6" t="s">
        <v>5082</v>
      </c>
      <c r="B357" s="3" t="s">
        <v>5083</v>
      </c>
      <c r="C357" s="4">
        <v>1</v>
      </c>
      <c r="D357" s="5">
        <v>29.99</v>
      </c>
      <c r="E357" s="4" t="s">
        <v>5084</v>
      </c>
      <c r="F357" s="3" t="s">
        <v>5532</v>
      </c>
      <c r="G357" s="7" t="s">
        <v>5533</v>
      </c>
      <c r="H357" s="3" t="s">
        <v>6065</v>
      </c>
      <c r="I357" s="3" t="s">
        <v>6066</v>
      </c>
      <c r="J357" s="3" t="s">
        <v>5536</v>
      </c>
      <c r="K357" s="3" t="s">
        <v>5594</v>
      </c>
      <c r="L357" s="8" t="str">
        <f>HYPERLINK("http://slimages.macys.com/is/image/MCY/15360972 ")</f>
        <v xml:space="preserve">http://slimages.macys.com/is/image/MCY/15360972 </v>
      </c>
    </row>
    <row r="358" spans="1:12" ht="24.75" x14ac:dyDescent="0.25">
      <c r="A358" s="6" t="s">
        <v>5085</v>
      </c>
      <c r="B358" s="3" t="s">
        <v>4332</v>
      </c>
      <c r="C358" s="4">
        <v>1</v>
      </c>
      <c r="D358" s="5">
        <v>20</v>
      </c>
      <c r="E358" s="4">
        <v>5149100</v>
      </c>
      <c r="F358" s="3" t="s">
        <v>5811</v>
      </c>
      <c r="G358" s="7" t="s">
        <v>5898</v>
      </c>
      <c r="H358" s="3" t="s">
        <v>4333</v>
      </c>
      <c r="I358" s="3" t="s">
        <v>4334</v>
      </c>
      <c r="J358" s="3" t="s">
        <v>5536</v>
      </c>
      <c r="K358" s="3" t="s">
        <v>5984</v>
      </c>
      <c r="L358" s="8" t="str">
        <f>HYPERLINK("http://slimages.macys.com/is/image/MCY/15433408 ")</f>
        <v xml:space="preserve">http://slimages.macys.com/is/image/MCY/15433408 </v>
      </c>
    </row>
    <row r="359" spans="1:12" ht="24.75" x14ac:dyDescent="0.25">
      <c r="A359" s="6" t="s">
        <v>5086</v>
      </c>
      <c r="B359" s="3" t="s">
        <v>6606</v>
      </c>
      <c r="C359" s="4">
        <v>1</v>
      </c>
      <c r="D359" s="5">
        <v>24.99</v>
      </c>
      <c r="E359" s="4" t="s">
        <v>6607</v>
      </c>
      <c r="F359" s="3" t="s">
        <v>5552</v>
      </c>
      <c r="G359" s="7" t="s">
        <v>5598</v>
      </c>
      <c r="H359" s="3" t="s">
        <v>6608</v>
      </c>
      <c r="I359" s="3" t="s">
        <v>6609</v>
      </c>
      <c r="J359" s="3" t="s">
        <v>5536</v>
      </c>
      <c r="K359" s="3" t="s">
        <v>6610</v>
      </c>
      <c r="L359" s="8" t="str">
        <f>HYPERLINK("http://slimages.macys.com/is/image/MCY/14311832 ")</f>
        <v xml:space="preserve">http://slimages.macys.com/is/image/MCY/14311832 </v>
      </c>
    </row>
    <row r="360" spans="1:12" ht="24.75" x14ac:dyDescent="0.25">
      <c r="A360" s="6" t="s">
        <v>5087</v>
      </c>
      <c r="B360" s="3" t="s">
        <v>5088</v>
      </c>
      <c r="C360" s="4">
        <v>1</v>
      </c>
      <c r="D360" s="5">
        <v>17.989999999999998</v>
      </c>
      <c r="E360" s="4" t="s">
        <v>5089</v>
      </c>
      <c r="F360" s="3" t="s">
        <v>5532</v>
      </c>
      <c r="G360" s="7" t="s">
        <v>6848</v>
      </c>
      <c r="H360" s="3" t="s">
        <v>6794</v>
      </c>
      <c r="I360" s="3" t="s">
        <v>5090</v>
      </c>
      <c r="J360" s="3" t="s">
        <v>5536</v>
      </c>
      <c r="K360" s="3" t="s">
        <v>5587</v>
      </c>
      <c r="L360" s="8" t="str">
        <f>HYPERLINK("http://slimages.macys.com/is/image/MCY/14442316 ")</f>
        <v xml:space="preserve">http://slimages.macys.com/is/image/MCY/14442316 </v>
      </c>
    </row>
    <row r="361" spans="1:12" ht="24.75" x14ac:dyDescent="0.25">
      <c r="A361" s="6" t="s">
        <v>5091</v>
      </c>
      <c r="B361" s="3" t="s">
        <v>5092</v>
      </c>
      <c r="C361" s="4">
        <v>1</v>
      </c>
      <c r="D361" s="5">
        <v>19</v>
      </c>
      <c r="E361" s="4" t="s">
        <v>5093</v>
      </c>
      <c r="F361" s="3" t="s">
        <v>5532</v>
      </c>
      <c r="G361" s="7"/>
      <c r="H361" s="3" t="s">
        <v>6026</v>
      </c>
      <c r="I361" s="3" t="s">
        <v>5094</v>
      </c>
      <c r="J361" s="3" t="s">
        <v>5536</v>
      </c>
      <c r="K361" s="3" t="s">
        <v>5641</v>
      </c>
      <c r="L361" s="8" t="str">
        <f>HYPERLINK("http://slimages.macys.com/is/image/MCY/15805152 ")</f>
        <v xml:space="preserve">http://slimages.macys.com/is/image/MCY/15805152 </v>
      </c>
    </row>
    <row r="362" spans="1:12" ht="24.75" x14ac:dyDescent="0.25">
      <c r="A362" s="6" t="s">
        <v>5095</v>
      </c>
      <c r="B362" s="3" t="s">
        <v>5096</v>
      </c>
      <c r="C362" s="4">
        <v>1</v>
      </c>
      <c r="D362" s="5">
        <v>19</v>
      </c>
      <c r="E362" s="4" t="s">
        <v>5097</v>
      </c>
      <c r="F362" s="3" t="s">
        <v>5532</v>
      </c>
      <c r="G362" s="7" t="s">
        <v>5760</v>
      </c>
      <c r="H362" s="3" t="s">
        <v>6026</v>
      </c>
      <c r="I362" s="3" t="s">
        <v>5094</v>
      </c>
      <c r="J362" s="3" t="s">
        <v>5536</v>
      </c>
      <c r="K362" s="3" t="s">
        <v>5641</v>
      </c>
      <c r="L362" s="8" t="str">
        <f>HYPERLINK("http://slimages.macys.com/is/image/MCY/15805830 ")</f>
        <v xml:space="preserve">http://slimages.macys.com/is/image/MCY/15805830 </v>
      </c>
    </row>
    <row r="363" spans="1:12" ht="36.75" x14ac:dyDescent="0.25">
      <c r="A363" s="6" t="s">
        <v>6615</v>
      </c>
      <c r="B363" s="3" t="s">
        <v>6612</v>
      </c>
      <c r="C363" s="4">
        <v>4</v>
      </c>
      <c r="D363" s="5">
        <v>83.52</v>
      </c>
      <c r="E363" s="4" t="s">
        <v>6613</v>
      </c>
      <c r="F363" s="3" t="s">
        <v>5540</v>
      </c>
      <c r="G363" s="7" t="s">
        <v>5596</v>
      </c>
      <c r="H363" s="3" t="s">
        <v>5842</v>
      </c>
      <c r="I363" s="3" t="s">
        <v>5843</v>
      </c>
      <c r="J363" s="3" t="s">
        <v>5536</v>
      </c>
      <c r="K363" s="3" t="s">
        <v>6614</v>
      </c>
      <c r="L363" s="8" t="str">
        <f>HYPERLINK("http://slimages.macys.com/is/image/MCY/15251823 ")</f>
        <v xml:space="preserve">http://slimages.macys.com/is/image/MCY/15251823 </v>
      </c>
    </row>
    <row r="364" spans="1:12" ht="36.75" x14ac:dyDescent="0.25">
      <c r="A364" s="6" t="s">
        <v>6616</v>
      </c>
      <c r="B364" s="3" t="s">
        <v>6612</v>
      </c>
      <c r="C364" s="4">
        <v>2</v>
      </c>
      <c r="D364" s="5">
        <v>41.76</v>
      </c>
      <c r="E364" s="4" t="s">
        <v>6613</v>
      </c>
      <c r="F364" s="3" t="s">
        <v>5540</v>
      </c>
      <c r="G364" s="7" t="s">
        <v>5562</v>
      </c>
      <c r="H364" s="3" t="s">
        <v>5842</v>
      </c>
      <c r="I364" s="3" t="s">
        <v>5843</v>
      </c>
      <c r="J364" s="3" t="s">
        <v>5536</v>
      </c>
      <c r="K364" s="3" t="s">
        <v>6614</v>
      </c>
      <c r="L364" s="8" t="str">
        <f>HYPERLINK("http://slimages.macys.com/is/image/MCY/15251823 ")</f>
        <v xml:space="preserve">http://slimages.macys.com/is/image/MCY/15251823 </v>
      </c>
    </row>
    <row r="365" spans="1:12" ht="36.75" x14ac:dyDescent="0.25">
      <c r="A365" s="6" t="s">
        <v>6611</v>
      </c>
      <c r="B365" s="3" t="s">
        <v>6612</v>
      </c>
      <c r="C365" s="4">
        <v>10</v>
      </c>
      <c r="D365" s="5">
        <v>208.8</v>
      </c>
      <c r="E365" s="4" t="s">
        <v>6613</v>
      </c>
      <c r="F365" s="3" t="s">
        <v>5540</v>
      </c>
      <c r="G365" s="7" t="s">
        <v>5533</v>
      </c>
      <c r="H365" s="3" t="s">
        <v>5842</v>
      </c>
      <c r="I365" s="3" t="s">
        <v>5843</v>
      </c>
      <c r="J365" s="3" t="s">
        <v>5536</v>
      </c>
      <c r="K365" s="3" t="s">
        <v>6614</v>
      </c>
      <c r="L365" s="8" t="str">
        <f>HYPERLINK("http://slimages.macys.com/is/image/MCY/15251823 ")</f>
        <v xml:space="preserve">http://slimages.macys.com/is/image/MCY/15251823 </v>
      </c>
    </row>
    <row r="366" spans="1:12" x14ac:dyDescent="0.25">
      <c r="A366" s="6" t="s">
        <v>5098</v>
      </c>
      <c r="B366" s="3" t="s">
        <v>6621</v>
      </c>
      <c r="C366" s="4">
        <v>1</v>
      </c>
      <c r="D366" s="5">
        <v>29.99</v>
      </c>
      <c r="E366" s="4" t="s">
        <v>6622</v>
      </c>
      <c r="F366" s="3" t="s">
        <v>5552</v>
      </c>
      <c r="G366" s="7" t="s">
        <v>5596</v>
      </c>
      <c r="H366" s="3" t="s">
        <v>6065</v>
      </c>
      <c r="I366" s="3" t="s">
        <v>6066</v>
      </c>
      <c r="J366" s="3" t="s">
        <v>5536</v>
      </c>
      <c r="K366" s="3" t="s">
        <v>5594</v>
      </c>
      <c r="L366" s="8" t="str">
        <f>HYPERLINK("http://slimages.macys.com/is/image/MCY/15361100 ")</f>
        <v xml:space="preserve">http://slimages.macys.com/is/image/MCY/15361100 </v>
      </c>
    </row>
    <row r="367" spans="1:12" ht="24.75" x14ac:dyDescent="0.25">
      <c r="A367" s="6" t="s">
        <v>5099</v>
      </c>
      <c r="B367" s="3" t="s">
        <v>5100</v>
      </c>
      <c r="C367" s="4">
        <v>1</v>
      </c>
      <c r="D367" s="5">
        <v>29.99</v>
      </c>
      <c r="E367" s="4" t="s">
        <v>5101</v>
      </c>
      <c r="F367" s="3" t="s">
        <v>5532</v>
      </c>
      <c r="G367" s="7" t="s">
        <v>5596</v>
      </c>
      <c r="H367" s="3" t="s">
        <v>6065</v>
      </c>
      <c r="I367" s="3" t="s">
        <v>6066</v>
      </c>
      <c r="J367" s="3" t="s">
        <v>5536</v>
      </c>
      <c r="K367" s="3" t="s">
        <v>5594</v>
      </c>
      <c r="L367" s="8" t="str">
        <f>HYPERLINK("http://slimages.macys.com/is/image/MCY/15361087 ")</f>
        <v xml:space="preserve">http://slimages.macys.com/is/image/MCY/15361087 </v>
      </c>
    </row>
    <row r="368" spans="1:12" x14ac:dyDescent="0.25">
      <c r="A368" s="6" t="s">
        <v>5102</v>
      </c>
      <c r="B368" s="3" t="s">
        <v>6618</v>
      </c>
      <c r="C368" s="4">
        <v>1</v>
      </c>
      <c r="D368" s="5">
        <v>29.99</v>
      </c>
      <c r="E368" s="4" t="s">
        <v>6619</v>
      </c>
      <c r="F368" s="3" t="s">
        <v>5540</v>
      </c>
      <c r="G368" s="7" t="s">
        <v>5562</v>
      </c>
      <c r="H368" s="3" t="s">
        <v>6065</v>
      </c>
      <c r="I368" s="3" t="s">
        <v>6066</v>
      </c>
      <c r="J368" s="3" t="s">
        <v>5536</v>
      </c>
      <c r="K368" s="3" t="s">
        <v>5594</v>
      </c>
      <c r="L368" s="8" t="str">
        <f>HYPERLINK("http://slimages.macys.com/is/image/MCY/15361040 ")</f>
        <v xml:space="preserve">http://slimages.macys.com/is/image/MCY/15361040 </v>
      </c>
    </row>
    <row r="369" spans="1:12" x14ac:dyDescent="0.25">
      <c r="A369" s="6" t="s">
        <v>6617</v>
      </c>
      <c r="B369" s="3" t="s">
        <v>6618</v>
      </c>
      <c r="C369" s="4">
        <v>2</v>
      </c>
      <c r="D369" s="5">
        <v>59.98</v>
      </c>
      <c r="E369" s="4" t="s">
        <v>6619</v>
      </c>
      <c r="F369" s="3" t="s">
        <v>5540</v>
      </c>
      <c r="G369" s="7" t="s">
        <v>5533</v>
      </c>
      <c r="H369" s="3" t="s">
        <v>6065</v>
      </c>
      <c r="I369" s="3" t="s">
        <v>6066</v>
      </c>
      <c r="J369" s="3" t="s">
        <v>5536</v>
      </c>
      <c r="K369" s="3" t="s">
        <v>5594</v>
      </c>
      <c r="L369" s="8" t="str">
        <f>HYPERLINK("http://slimages.macys.com/is/image/MCY/15361040 ")</f>
        <v xml:space="preserve">http://slimages.macys.com/is/image/MCY/15361040 </v>
      </c>
    </row>
    <row r="370" spans="1:12" x14ac:dyDescent="0.25">
      <c r="A370" s="6" t="s">
        <v>5103</v>
      </c>
      <c r="B370" s="3" t="s">
        <v>6621</v>
      </c>
      <c r="C370" s="4">
        <v>1</v>
      </c>
      <c r="D370" s="5">
        <v>29.99</v>
      </c>
      <c r="E370" s="4" t="s">
        <v>6622</v>
      </c>
      <c r="F370" s="3" t="s">
        <v>5552</v>
      </c>
      <c r="G370" s="7" t="s">
        <v>5562</v>
      </c>
      <c r="H370" s="3" t="s">
        <v>6065</v>
      </c>
      <c r="I370" s="3" t="s">
        <v>6066</v>
      </c>
      <c r="J370" s="3" t="s">
        <v>5536</v>
      </c>
      <c r="K370" s="3" t="s">
        <v>5594</v>
      </c>
      <c r="L370" s="8" t="str">
        <f>HYPERLINK("http://slimages.macys.com/is/image/MCY/15361100 ")</f>
        <v xml:space="preserve">http://slimages.macys.com/is/image/MCY/15361100 </v>
      </c>
    </row>
    <row r="371" spans="1:12" x14ac:dyDescent="0.25">
      <c r="A371" s="6" t="s">
        <v>5104</v>
      </c>
      <c r="B371" s="3" t="s">
        <v>5105</v>
      </c>
      <c r="C371" s="4">
        <v>1</v>
      </c>
      <c r="D371" s="5">
        <v>39.5</v>
      </c>
      <c r="E371" s="4">
        <v>100063769</v>
      </c>
      <c r="F371" s="3" t="s">
        <v>5745</v>
      </c>
      <c r="G371" s="7" t="s">
        <v>5562</v>
      </c>
      <c r="H371" s="3" t="s">
        <v>5585</v>
      </c>
      <c r="I371" s="3" t="s">
        <v>5734</v>
      </c>
      <c r="J371" s="3" t="s">
        <v>5536</v>
      </c>
      <c r="K371" s="3" t="s">
        <v>5594</v>
      </c>
      <c r="L371" s="8" t="str">
        <f>HYPERLINK("http://slimages.macys.com/is/image/MCY/12850533 ")</f>
        <v xml:space="preserve">http://slimages.macys.com/is/image/MCY/12850533 </v>
      </c>
    </row>
    <row r="372" spans="1:12" ht="24.75" x14ac:dyDescent="0.25">
      <c r="A372" s="6" t="s">
        <v>5106</v>
      </c>
      <c r="B372" s="3" t="s">
        <v>5107</v>
      </c>
      <c r="C372" s="4">
        <v>1</v>
      </c>
      <c r="D372" s="5">
        <v>17.989999999999998</v>
      </c>
      <c r="E372" s="4" t="s">
        <v>5108</v>
      </c>
      <c r="F372" s="3" t="s">
        <v>5783</v>
      </c>
      <c r="G372" s="7" t="s">
        <v>5573</v>
      </c>
      <c r="H372" s="3" t="s">
        <v>6794</v>
      </c>
      <c r="I372" s="3" t="s">
        <v>5090</v>
      </c>
      <c r="J372" s="3" t="s">
        <v>5536</v>
      </c>
      <c r="K372" s="3" t="s">
        <v>5587</v>
      </c>
      <c r="L372" s="8" t="str">
        <f>HYPERLINK("http://slimages.macys.com/is/image/MCY/14442235 ")</f>
        <v xml:space="preserve">http://slimages.macys.com/is/image/MCY/14442235 </v>
      </c>
    </row>
    <row r="373" spans="1:12" ht="24.75" x14ac:dyDescent="0.25">
      <c r="A373" s="6" t="s">
        <v>5109</v>
      </c>
      <c r="B373" s="3" t="s">
        <v>5107</v>
      </c>
      <c r="C373" s="4">
        <v>1</v>
      </c>
      <c r="D373" s="5">
        <v>17.989999999999998</v>
      </c>
      <c r="E373" s="4" t="s">
        <v>5108</v>
      </c>
      <c r="F373" s="3" t="s">
        <v>6335</v>
      </c>
      <c r="G373" s="7" t="s">
        <v>5573</v>
      </c>
      <c r="H373" s="3" t="s">
        <v>6794</v>
      </c>
      <c r="I373" s="3" t="s">
        <v>5090</v>
      </c>
      <c r="J373" s="3" t="s">
        <v>5536</v>
      </c>
      <c r="K373" s="3" t="s">
        <v>5587</v>
      </c>
      <c r="L373" s="8" t="str">
        <f>HYPERLINK("http://slimages.macys.com/is/image/MCY/14442235 ")</f>
        <v xml:space="preserve">http://slimages.macys.com/is/image/MCY/14442235 </v>
      </c>
    </row>
    <row r="374" spans="1:12" ht="24.75" x14ac:dyDescent="0.25">
      <c r="A374" s="6" t="s">
        <v>5110</v>
      </c>
      <c r="B374" s="3" t="s">
        <v>5107</v>
      </c>
      <c r="C374" s="4">
        <v>2</v>
      </c>
      <c r="D374" s="5">
        <v>35.979999999999997</v>
      </c>
      <c r="E374" s="4" t="s">
        <v>5108</v>
      </c>
      <c r="F374" s="3" t="s">
        <v>5532</v>
      </c>
      <c r="G374" s="7" t="s">
        <v>6848</v>
      </c>
      <c r="H374" s="3" t="s">
        <v>6794</v>
      </c>
      <c r="I374" s="3" t="s">
        <v>5090</v>
      </c>
      <c r="J374" s="3" t="s">
        <v>5536</v>
      </c>
      <c r="K374" s="3" t="s">
        <v>5587</v>
      </c>
      <c r="L374" s="8" t="str">
        <f>HYPERLINK("http://slimages.macys.com/is/image/MCY/14442235 ")</f>
        <v xml:space="preserve">http://slimages.macys.com/is/image/MCY/14442235 </v>
      </c>
    </row>
    <row r="375" spans="1:12" ht="24.75" x14ac:dyDescent="0.25">
      <c r="A375" s="6" t="s">
        <v>5111</v>
      </c>
      <c r="B375" s="3" t="s">
        <v>5107</v>
      </c>
      <c r="C375" s="4">
        <v>3</v>
      </c>
      <c r="D375" s="5">
        <v>53.97</v>
      </c>
      <c r="E375" s="4" t="s">
        <v>5108</v>
      </c>
      <c r="F375" s="3" t="s">
        <v>5783</v>
      </c>
      <c r="G375" s="7" t="s">
        <v>6848</v>
      </c>
      <c r="H375" s="3" t="s">
        <v>6794</v>
      </c>
      <c r="I375" s="3" t="s">
        <v>5090</v>
      </c>
      <c r="J375" s="3" t="s">
        <v>5536</v>
      </c>
      <c r="K375" s="3" t="s">
        <v>5587</v>
      </c>
      <c r="L375" s="8" t="str">
        <f>HYPERLINK("http://slimages.macys.com/is/image/MCY/14442235 ")</f>
        <v xml:space="preserve">http://slimages.macys.com/is/image/MCY/14442235 </v>
      </c>
    </row>
    <row r="376" spans="1:12" ht="24.75" x14ac:dyDescent="0.25">
      <c r="A376" s="6" t="s">
        <v>4372</v>
      </c>
      <c r="B376" s="3" t="s">
        <v>4369</v>
      </c>
      <c r="C376" s="4">
        <v>2</v>
      </c>
      <c r="D376" s="5">
        <v>68.599999999999994</v>
      </c>
      <c r="E376" s="4" t="s">
        <v>4370</v>
      </c>
      <c r="F376" s="3" t="s">
        <v>5661</v>
      </c>
      <c r="G376" s="7" t="s">
        <v>6491</v>
      </c>
      <c r="H376" s="3" t="s">
        <v>6131</v>
      </c>
      <c r="I376" s="3" t="s">
        <v>6204</v>
      </c>
      <c r="J376" s="3" t="s">
        <v>5536</v>
      </c>
      <c r="K376" s="3" t="s">
        <v>4371</v>
      </c>
      <c r="L376" s="8" t="str">
        <f>HYPERLINK("http://slimages.macys.com/is/image/MCY/11452278 ")</f>
        <v xml:space="preserve">http://slimages.macys.com/is/image/MCY/11452278 </v>
      </c>
    </row>
    <row r="377" spans="1:12" ht="24.75" x14ac:dyDescent="0.25">
      <c r="A377" s="6" t="s">
        <v>5112</v>
      </c>
      <c r="B377" s="3" t="s">
        <v>5113</v>
      </c>
      <c r="C377" s="4">
        <v>1</v>
      </c>
      <c r="D377" s="5">
        <v>17.77</v>
      </c>
      <c r="E377" s="4" t="s">
        <v>5114</v>
      </c>
      <c r="F377" s="3" t="s">
        <v>5532</v>
      </c>
      <c r="G377" s="7"/>
      <c r="H377" s="3" t="s">
        <v>6026</v>
      </c>
      <c r="I377" s="3" t="s">
        <v>6646</v>
      </c>
      <c r="J377" s="3" t="s">
        <v>5536</v>
      </c>
      <c r="K377" s="3" t="s">
        <v>5574</v>
      </c>
      <c r="L377" s="8" t="str">
        <f>HYPERLINK("http://slimages.macys.com/is/image/MCY/13038876 ")</f>
        <v xml:space="preserve">http://slimages.macys.com/is/image/MCY/13038876 </v>
      </c>
    </row>
    <row r="378" spans="1:12" ht="24.75" x14ac:dyDescent="0.25">
      <c r="A378" s="6" t="s">
        <v>5115</v>
      </c>
      <c r="B378" s="3" t="s">
        <v>4369</v>
      </c>
      <c r="C378" s="4">
        <v>1</v>
      </c>
      <c r="D378" s="5">
        <v>34.299999999999997</v>
      </c>
      <c r="E378" s="4" t="s">
        <v>4370</v>
      </c>
      <c r="F378" s="3" t="s">
        <v>5661</v>
      </c>
      <c r="G378" s="7" t="s">
        <v>6626</v>
      </c>
      <c r="H378" s="3" t="s">
        <v>6131</v>
      </c>
      <c r="I378" s="3" t="s">
        <v>6204</v>
      </c>
      <c r="J378" s="3" t="s">
        <v>5536</v>
      </c>
      <c r="K378" s="3" t="s">
        <v>4371</v>
      </c>
      <c r="L378" s="8" t="str">
        <f>HYPERLINK("http://slimages.macys.com/is/image/MCY/11452278 ")</f>
        <v xml:space="preserve">http://slimages.macys.com/is/image/MCY/11452278 </v>
      </c>
    </row>
    <row r="379" spans="1:12" ht="48.75" x14ac:dyDescent="0.25">
      <c r="A379" s="6" t="s">
        <v>5116</v>
      </c>
      <c r="B379" s="3" t="s">
        <v>5117</v>
      </c>
      <c r="C379" s="4">
        <v>1</v>
      </c>
      <c r="D379" s="5">
        <v>27.99</v>
      </c>
      <c r="E379" s="4">
        <v>10007027100</v>
      </c>
      <c r="F379" s="3" t="s">
        <v>5532</v>
      </c>
      <c r="G379" s="7" t="s">
        <v>6252</v>
      </c>
      <c r="H379" s="3" t="s">
        <v>6652</v>
      </c>
      <c r="I379" s="3" t="s">
        <v>6653</v>
      </c>
      <c r="J379" s="3" t="s">
        <v>5536</v>
      </c>
      <c r="K379" s="3" t="s">
        <v>5118</v>
      </c>
      <c r="L379" s="8" t="str">
        <f>HYPERLINK("http://slimages.macys.com/is/image/MCY/13287528 ")</f>
        <v xml:space="preserve">http://slimages.macys.com/is/image/MCY/13287528 </v>
      </c>
    </row>
    <row r="380" spans="1:12" ht="24.75" x14ac:dyDescent="0.25">
      <c r="A380" s="6" t="s">
        <v>5119</v>
      </c>
      <c r="B380" s="3" t="s">
        <v>6660</v>
      </c>
      <c r="C380" s="4">
        <v>2</v>
      </c>
      <c r="D380" s="5">
        <v>59.98</v>
      </c>
      <c r="E380" s="4" t="s">
        <v>4392</v>
      </c>
      <c r="F380" s="3" t="s">
        <v>5540</v>
      </c>
      <c r="G380" s="7" t="s">
        <v>5533</v>
      </c>
      <c r="H380" s="3" t="s">
        <v>6065</v>
      </c>
      <c r="I380" s="3" t="s">
        <v>6066</v>
      </c>
      <c r="J380" s="3" t="s">
        <v>5536</v>
      </c>
      <c r="K380" s="3" t="s">
        <v>6638</v>
      </c>
      <c r="L380" s="8" t="str">
        <f>HYPERLINK("http://slimages.macys.com/is/image/MCY/8796569 ")</f>
        <v xml:space="preserve">http://slimages.macys.com/is/image/MCY/8796569 </v>
      </c>
    </row>
    <row r="381" spans="1:12" ht="24.75" x14ac:dyDescent="0.25">
      <c r="A381" s="6" t="s">
        <v>5120</v>
      </c>
      <c r="B381" s="3" t="s">
        <v>6660</v>
      </c>
      <c r="C381" s="4">
        <v>1</v>
      </c>
      <c r="D381" s="5">
        <v>29.99</v>
      </c>
      <c r="E381" s="4" t="s">
        <v>5121</v>
      </c>
      <c r="F381" s="3" t="s">
        <v>5811</v>
      </c>
      <c r="G381" s="7" t="s">
        <v>5562</v>
      </c>
      <c r="H381" s="3" t="s">
        <v>6065</v>
      </c>
      <c r="I381" s="3" t="s">
        <v>6066</v>
      </c>
      <c r="J381" s="3" t="s">
        <v>5536</v>
      </c>
      <c r="K381" s="3" t="s">
        <v>6638</v>
      </c>
      <c r="L381" s="8" t="str">
        <f>HYPERLINK("http://slimages.macys.com/is/image/MCY/8796569 ")</f>
        <v xml:space="preserve">http://slimages.macys.com/is/image/MCY/8796569 </v>
      </c>
    </row>
    <row r="382" spans="1:12" ht="24.75" x14ac:dyDescent="0.25">
      <c r="A382" s="6" t="s">
        <v>6659</v>
      </c>
      <c r="B382" s="3" t="s">
        <v>6660</v>
      </c>
      <c r="C382" s="4">
        <v>1</v>
      </c>
      <c r="D382" s="5">
        <v>29.99</v>
      </c>
      <c r="E382" s="4" t="s">
        <v>6661</v>
      </c>
      <c r="F382" s="3" t="s">
        <v>5754</v>
      </c>
      <c r="G382" s="7" t="s">
        <v>5560</v>
      </c>
      <c r="H382" s="3" t="s">
        <v>6065</v>
      </c>
      <c r="I382" s="3" t="s">
        <v>6066</v>
      </c>
      <c r="J382" s="3" t="s">
        <v>5536</v>
      </c>
      <c r="K382" s="3" t="s">
        <v>6638</v>
      </c>
      <c r="L382" s="8" t="str">
        <f>HYPERLINK("http://slimages.macys.com/is/image/MCY/8796569 ")</f>
        <v xml:space="preserve">http://slimages.macys.com/is/image/MCY/8796569 </v>
      </c>
    </row>
    <row r="383" spans="1:12" ht="24.75" x14ac:dyDescent="0.25">
      <c r="A383" s="6" t="s">
        <v>5122</v>
      </c>
      <c r="B383" s="3" t="s">
        <v>6660</v>
      </c>
      <c r="C383" s="4">
        <v>1</v>
      </c>
      <c r="D383" s="5">
        <v>29.99</v>
      </c>
      <c r="E383" s="4" t="s">
        <v>5123</v>
      </c>
      <c r="F383" s="3" t="s">
        <v>6275</v>
      </c>
      <c r="G383" s="7" t="s">
        <v>5560</v>
      </c>
      <c r="H383" s="3" t="s">
        <v>6065</v>
      </c>
      <c r="I383" s="3" t="s">
        <v>6066</v>
      </c>
      <c r="J383" s="3" t="s">
        <v>5536</v>
      </c>
      <c r="K383" s="3" t="s">
        <v>6638</v>
      </c>
      <c r="L383" s="8" t="str">
        <f>HYPERLINK("http://slimages.macys.com/is/image/MCY/8796569 ")</f>
        <v xml:space="preserve">http://slimages.macys.com/is/image/MCY/8796569 </v>
      </c>
    </row>
    <row r="384" spans="1:12" ht="24.75" x14ac:dyDescent="0.25">
      <c r="A384" s="6" t="s">
        <v>5124</v>
      </c>
      <c r="B384" s="3" t="s">
        <v>6660</v>
      </c>
      <c r="C384" s="4">
        <v>1</v>
      </c>
      <c r="D384" s="5">
        <v>29.99</v>
      </c>
      <c r="E384" s="4" t="s">
        <v>4389</v>
      </c>
      <c r="F384" s="3" t="s">
        <v>5540</v>
      </c>
      <c r="G384" s="7" t="s">
        <v>5562</v>
      </c>
      <c r="H384" s="3" t="s">
        <v>6065</v>
      </c>
      <c r="I384" s="3" t="s">
        <v>6066</v>
      </c>
      <c r="J384" s="3" t="s">
        <v>5536</v>
      </c>
      <c r="K384" s="3" t="s">
        <v>6638</v>
      </c>
      <c r="L384" s="8" t="str">
        <f>HYPERLINK("http://slimages.macys.com/is/image/MCY/8796569 ")</f>
        <v xml:space="preserve">http://slimages.macys.com/is/image/MCY/8796569 </v>
      </c>
    </row>
    <row r="385" spans="1:12" ht="24.75" x14ac:dyDescent="0.25">
      <c r="A385" s="6" t="s">
        <v>5125</v>
      </c>
      <c r="B385" s="3" t="s">
        <v>5126</v>
      </c>
      <c r="C385" s="4">
        <v>1</v>
      </c>
      <c r="D385" s="5">
        <v>17.5</v>
      </c>
      <c r="E385" s="4" t="s">
        <v>5127</v>
      </c>
      <c r="F385" s="3" t="s">
        <v>5783</v>
      </c>
      <c r="G385" s="7" t="s">
        <v>5777</v>
      </c>
      <c r="H385" s="3" t="s">
        <v>5722</v>
      </c>
      <c r="I385" s="3" t="s">
        <v>5128</v>
      </c>
      <c r="J385" s="3" t="s">
        <v>5536</v>
      </c>
      <c r="K385" s="3" t="s">
        <v>5574</v>
      </c>
      <c r="L385" s="8" t="str">
        <f>HYPERLINK("http://slimages.macys.com/is/image/MCY/15817497 ")</f>
        <v xml:space="preserve">http://slimages.macys.com/is/image/MCY/15817497 </v>
      </c>
    </row>
    <row r="386" spans="1:12" ht="24.75" x14ac:dyDescent="0.25">
      <c r="A386" s="6" t="s">
        <v>5129</v>
      </c>
      <c r="B386" s="3" t="s">
        <v>5130</v>
      </c>
      <c r="C386" s="4">
        <v>1</v>
      </c>
      <c r="D386" s="5">
        <v>20</v>
      </c>
      <c r="E386" s="4" t="s">
        <v>5131</v>
      </c>
      <c r="F386" s="3" t="s">
        <v>5532</v>
      </c>
      <c r="G386" s="7" t="s">
        <v>5560</v>
      </c>
      <c r="H386" s="3" t="s">
        <v>6492</v>
      </c>
      <c r="I386" s="3" t="s">
        <v>5132</v>
      </c>
      <c r="J386" s="3" t="s">
        <v>5536</v>
      </c>
      <c r="K386" s="3" t="s">
        <v>5553</v>
      </c>
      <c r="L386" s="8" t="str">
        <f>HYPERLINK("http://slimages.macys.com/is/image/MCY/13401431 ")</f>
        <v xml:space="preserve">http://slimages.macys.com/is/image/MCY/13401431 </v>
      </c>
    </row>
    <row r="387" spans="1:12" ht="24.75" x14ac:dyDescent="0.25">
      <c r="A387" s="6" t="s">
        <v>5133</v>
      </c>
      <c r="B387" s="3" t="s">
        <v>5134</v>
      </c>
      <c r="C387" s="4">
        <v>1</v>
      </c>
      <c r="D387" s="5">
        <v>19.989999999999998</v>
      </c>
      <c r="E387" s="4" t="s">
        <v>5135</v>
      </c>
      <c r="F387" s="3" t="s">
        <v>5661</v>
      </c>
      <c r="G387" s="7" t="s">
        <v>5562</v>
      </c>
      <c r="H387" s="3" t="s">
        <v>6794</v>
      </c>
      <c r="I387" s="3" t="s">
        <v>5920</v>
      </c>
      <c r="J387" s="3" t="s">
        <v>5536</v>
      </c>
      <c r="K387" s="3" t="s">
        <v>5574</v>
      </c>
      <c r="L387" s="8" t="str">
        <f>HYPERLINK("http://slimages.macys.com/is/image/MCY/14529810 ")</f>
        <v xml:space="preserve">http://slimages.macys.com/is/image/MCY/14529810 </v>
      </c>
    </row>
    <row r="388" spans="1:12" ht="24.75" x14ac:dyDescent="0.25">
      <c r="A388" s="6" t="s">
        <v>5136</v>
      </c>
      <c r="B388" s="3" t="s">
        <v>5137</v>
      </c>
      <c r="C388" s="4">
        <v>1</v>
      </c>
      <c r="D388" s="5">
        <v>19.989999999999998</v>
      </c>
      <c r="E388" s="4" t="s">
        <v>5135</v>
      </c>
      <c r="F388" s="3" t="s">
        <v>5540</v>
      </c>
      <c r="G388" s="7" t="s">
        <v>5562</v>
      </c>
      <c r="H388" s="3" t="s">
        <v>6794</v>
      </c>
      <c r="I388" s="3" t="s">
        <v>5920</v>
      </c>
      <c r="J388" s="3" t="s">
        <v>5536</v>
      </c>
      <c r="K388" s="3" t="s">
        <v>5574</v>
      </c>
      <c r="L388" s="8" t="str">
        <f>HYPERLINK("http://slimages.macys.com/is/image/MCY/14529810 ")</f>
        <v xml:space="preserve">http://slimages.macys.com/is/image/MCY/14529810 </v>
      </c>
    </row>
    <row r="389" spans="1:12" x14ac:dyDescent="0.25">
      <c r="A389" s="6" t="s">
        <v>5138</v>
      </c>
      <c r="B389" s="3" t="s">
        <v>5139</v>
      </c>
      <c r="C389" s="4">
        <v>1</v>
      </c>
      <c r="D389" s="5">
        <v>24.5</v>
      </c>
      <c r="E389" s="4">
        <v>100038308</v>
      </c>
      <c r="F389" s="3" t="s">
        <v>5532</v>
      </c>
      <c r="G389" s="7" t="s">
        <v>5562</v>
      </c>
      <c r="H389" s="3" t="s">
        <v>5585</v>
      </c>
      <c r="I389" s="3" t="s">
        <v>5734</v>
      </c>
      <c r="J389" s="3" t="s">
        <v>5536</v>
      </c>
      <c r="K389" s="3" t="s">
        <v>5594</v>
      </c>
      <c r="L389" s="8" t="str">
        <f>HYPERLINK("http://slimages.macys.com/is/image/MCY/13398205 ")</f>
        <v xml:space="preserve">http://slimages.macys.com/is/image/MCY/13398205 </v>
      </c>
    </row>
    <row r="390" spans="1:12" ht="24.75" x14ac:dyDescent="0.25">
      <c r="A390" s="6" t="s">
        <v>5140</v>
      </c>
      <c r="B390" s="3" t="s">
        <v>5141</v>
      </c>
      <c r="C390" s="4">
        <v>1</v>
      </c>
      <c r="D390" s="5">
        <v>19.989999999999998</v>
      </c>
      <c r="E390" s="4">
        <v>10007797500</v>
      </c>
      <c r="F390" s="3" t="s">
        <v>5532</v>
      </c>
      <c r="G390" s="7" t="s">
        <v>6252</v>
      </c>
      <c r="H390" s="3" t="s">
        <v>6652</v>
      </c>
      <c r="I390" s="3" t="s">
        <v>6681</v>
      </c>
      <c r="J390" s="3" t="s">
        <v>5536</v>
      </c>
      <c r="K390" s="3" t="s">
        <v>6748</v>
      </c>
      <c r="L390" s="8" t="str">
        <f>HYPERLINK("http://slimages.macys.com/is/image/MCY/13784275 ")</f>
        <v xml:space="preserve">http://slimages.macys.com/is/image/MCY/13784275 </v>
      </c>
    </row>
    <row r="391" spans="1:12" ht="24.75" x14ac:dyDescent="0.25">
      <c r="A391" s="6" t="s">
        <v>5142</v>
      </c>
      <c r="B391" s="3" t="s">
        <v>5143</v>
      </c>
      <c r="C391" s="4">
        <v>2</v>
      </c>
      <c r="D391" s="5">
        <v>39.979999999999997</v>
      </c>
      <c r="E391" s="4">
        <v>10008582100</v>
      </c>
      <c r="F391" s="3" t="s">
        <v>5532</v>
      </c>
      <c r="G391" s="7" t="s">
        <v>6252</v>
      </c>
      <c r="H391" s="3" t="s">
        <v>6652</v>
      </c>
      <c r="I391" s="3" t="s">
        <v>6681</v>
      </c>
      <c r="J391" s="3" t="s">
        <v>5536</v>
      </c>
      <c r="K391" s="3" t="s">
        <v>6316</v>
      </c>
      <c r="L391" s="8" t="str">
        <f>HYPERLINK("http://slimages.macys.com/is/image/MCY/15899712 ")</f>
        <v xml:space="preserve">http://slimages.macys.com/is/image/MCY/15899712 </v>
      </c>
    </row>
    <row r="392" spans="1:12" ht="24.75" x14ac:dyDescent="0.25">
      <c r="A392" s="6" t="s">
        <v>6707</v>
      </c>
      <c r="B392" s="3" t="s">
        <v>6708</v>
      </c>
      <c r="C392" s="4">
        <v>1</v>
      </c>
      <c r="D392" s="5">
        <v>19.989999999999998</v>
      </c>
      <c r="E392" s="4">
        <v>10007798500</v>
      </c>
      <c r="F392" s="3" t="s">
        <v>5578</v>
      </c>
      <c r="G392" s="7" t="s">
        <v>6252</v>
      </c>
      <c r="H392" s="3" t="s">
        <v>6652</v>
      </c>
      <c r="I392" s="3" t="s">
        <v>6681</v>
      </c>
      <c r="J392" s="3" t="s">
        <v>5536</v>
      </c>
      <c r="K392" s="3" t="s">
        <v>6316</v>
      </c>
      <c r="L392" s="8" t="str">
        <f>HYPERLINK("http://slimages.macys.com/is/image/MCY/15188532 ")</f>
        <v xml:space="preserve">http://slimages.macys.com/is/image/MCY/15188532 </v>
      </c>
    </row>
    <row r="393" spans="1:12" ht="24.75" x14ac:dyDescent="0.25">
      <c r="A393" s="6" t="s">
        <v>5144</v>
      </c>
      <c r="B393" s="3" t="s">
        <v>5145</v>
      </c>
      <c r="C393" s="4">
        <v>1</v>
      </c>
      <c r="D393" s="5">
        <v>19.989999999999998</v>
      </c>
      <c r="E393" s="4">
        <v>10008582500</v>
      </c>
      <c r="F393" s="3" t="s">
        <v>5540</v>
      </c>
      <c r="G393" s="7" t="s">
        <v>6252</v>
      </c>
      <c r="H393" s="3" t="s">
        <v>6652</v>
      </c>
      <c r="I393" s="3" t="s">
        <v>6681</v>
      </c>
      <c r="J393" s="3" t="s">
        <v>5536</v>
      </c>
      <c r="K393" s="3" t="s">
        <v>6316</v>
      </c>
      <c r="L393" s="8" t="str">
        <f>HYPERLINK("http://slimages.macys.com/is/image/MCY/15925398 ")</f>
        <v xml:space="preserve">http://slimages.macys.com/is/image/MCY/15925398 </v>
      </c>
    </row>
    <row r="394" spans="1:12" ht="24.75" x14ac:dyDescent="0.25">
      <c r="A394" s="6" t="s">
        <v>5146</v>
      </c>
      <c r="B394" s="3" t="s">
        <v>5147</v>
      </c>
      <c r="C394" s="4">
        <v>2</v>
      </c>
      <c r="D394" s="5">
        <v>39.979999999999997</v>
      </c>
      <c r="E394" s="4">
        <v>10007797700</v>
      </c>
      <c r="F394" s="3" t="s">
        <v>5532</v>
      </c>
      <c r="G394" s="7" t="s">
        <v>6252</v>
      </c>
      <c r="H394" s="3" t="s">
        <v>6652</v>
      </c>
      <c r="I394" s="3" t="s">
        <v>6681</v>
      </c>
      <c r="J394" s="3" t="s">
        <v>5536</v>
      </c>
      <c r="K394" s="3" t="s">
        <v>6316</v>
      </c>
      <c r="L394" s="8" t="str">
        <f>HYPERLINK("http://slimages.macys.com/is/image/MCY/14912093 ")</f>
        <v xml:space="preserve">http://slimages.macys.com/is/image/MCY/14912093 </v>
      </c>
    </row>
    <row r="395" spans="1:12" ht="24.75" x14ac:dyDescent="0.25">
      <c r="A395" s="6" t="s">
        <v>5148</v>
      </c>
      <c r="B395" s="3" t="s">
        <v>5149</v>
      </c>
      <c r="C395" s="4">
        <v>1</v>
      </c>
      <c r="D395" s="5">
        <v>19.989999999999998</v>
      </c>
      <c r="E395" s="4">
        <v>10008453900</v>
      </c>
      <c r="F395" s="3" t="s">
        <v>5661</v>
      </c>
      <c r="G395" s="7" t="s">
        <v>6252</v>
      </c>
      <c r="H395" s="3" t="s">
        <v>6652</v>
      </c>
      <c r="I395" s="3" t="s">
        <v>6681</v>
      </c>
      <c r="J395" s="3" t="s">
        <v>5536</v>
      </c>
      <c r="K395" s="3" t="s">
        <v>6316</v>
      </c>
      <c r="L395" s="8" t="str">
        <f>HYPERLINK("http://slimages.macys.com/is/image/MCY/15916956 ")</f>
        <v xml:space="preserve">http://slimages.macys.com/is/image/MCY/15916956 </v>
      </c>
    </row>
    <row r="396" spans="1:12" ht="24.75" x14ac:dyDescent="0.25">
      <c r="A396" s="6" t="s">
        <v>4410</v>
      </c>
      <c r="B396" s="3" t="s">
        <v>6688</v>
      </c>
      <c r="C396" s="4">
        <v>1</v>
      </c>
      <c r="D396" s="5">
        <v>19.989999999999998</v>
      </c>
      <c r="E396" s="4">
        <v>10008575200</v>
      </c>
      <c r="F396" s="3" t="s">
        <v>5610</v>
      </c>
      <c r="G396" s="7" t="s">
        <v>6252</v>
      </c>
      <c r="H396" s="3" t="s">
        <v>6652</v>
      </c>
      <c r="I396" s="3" t="s">
        <v>6686</v>
      </c>
      <c r="J396" s="3" t="s">
        <v>5536</v>
      </c>
      <c r="K396" s="3" t="s">
        <v>6316</v>
      </c>
      <c r="L396" s="8" t="str">
        <f>HYPERLINK("http://slimages.macys.com/is/image/MCY/15899484 ")</f>
        <v xml:space="preserve">http://slimages.macys.com/is/image/MCY/15899484 </v>
      </c>
    </row>
    <row r="397" spans="1:12" ht="24.75" x14ac:dyDescent="0.25">
      <c r="A397" s="6" t="s">
        <v>5150</v>
      </c>
      <c r="B397" s="3" t="s">
        <v>6706</v>
      </c>
      <c r="C397" s="4">
        <v>1</v>
      </c>
      <c r="D397" s="5">
        <v>19.989999999999998</v>
      </c>
      <c r="E397" s="4">
        <v>10008581400</v>
      </c>
      <c r="F397" s="3" t="s">
        <v>5532</v>
      </c>
      <c r="G397" s="7" t="s">
        <v>6252</v>
      </c>
      <c r="H397" s="3" t="s">
        <v>6652</v>
      </c>
      <c r="I397" s="3" t="s">
        <v>6681</v>
      </c>
      <c r="J397" s="3" t="s">
        <v>5536</v>
      </c>
      <c r="K397" s="3" t="s">
        <v>6316</v>
      </c>
      <c r="L397" s="8" t="str">
        <f>HYPERLINK("http://slimages.macys.com/is/image/MCY/15899025 ")</f>
        <v xml:space="preserve">http://slimages.macys.com/is/image/MCY/15899025 </v>
      </c>
    </row>
    <row r="398" spans="1:12" ht="24.75" x14ac:dyDescent="0.25">
      <c r="A398" s="6" t="s">
        <v>5151</v>
      </c>
      <c r="B398" s="3" t="s">
        <v>5152</v>
      </c>
      <c r="C398" s="4">
        <v>1</v>
      </c>
      <c r="D398" s="5">
        <v>19.989999999999998</v>
      </c>
      <c r="E398" s="4">
        <v>10007797800</v>
      </c>
      <c r="F398" s="3" t="s">
        <v>5540</v>
      </c>
      <c r="G398" s="7" t="s">
        <v>6252</v>
      </c>
      <c r="H398" s="3" t="s">
        <v>6652</v>
      </c>
      <c r="I398" s="3" t="s">
        <v>6681</v>
      </c>
      <c r="J398" s="3" t="s">
        <v>5536</v>
      </c>
      <c r="K398" s="3" t="s">
        <v>6316</v>
      </c>
      <c r="L398" s="8" t="str">
        <f>HYPERLINK("http://slimages.macys.com/is/image/MCY/14575005 ")</f>
        <v xml:space="preserve">http://slimages.macys.com/is/image/MCY/14575005 </v>
      </c>
    </row>
    <row r="399" spans="1:12" ht="24.75" x14ac:dyDescent="0.25">
      <c r="A399" s="6" t="s">
        <v>6737</v>
      </c>
      <c r="B399" s="3" t="s">
        <v>6738</v>
      </c>
      <c r="C399" s="4">
        <v>2</v>
      </c>
      <c r="D399" s="5">
        <v>39.979999999999997</v>
      </c>
      <c r="E399" s="4">
        <v>10006040100</v>
      </c>
      <c r="F399" s="3" t="s">
        <v>6739</v>
      </c>
      <c r="G399" s="7" t="s">
        <v>6252</v>
      </c>
      <c r="H399" s="3" t="s">
        <v>6652</v>
      </c>
      <c r="I399" s="3" t="s">
        <v>6681</v>
      </c>
      <c r="J399" s="3" t="s">
        <v>5536</v>
      </c>
      <c r="K399" s="3" t="s">
        <v>6338</v>
      </c>
      <c r="L399" s="8" t="str">
        <f>HYPERLINK("http://slimages.macys.com/is/image/MCY/11464877 ")</f>
        <v xml:space="preserve">http://slimages.macys.com/is/image/MCY/11464877 </v>
      </c>
    </row>
    <row r="400" spans="1:12" ht="24.75" x14ac:dyDescent="0.25">
      <c r="A400" s="6" t="s">
        <v>5153</v>
      </c>
      <c r="B400" s="3" t="s">
        <v>5145</v>
      </c>
      <c r="C400" s="4">
        <v>1</v>
      </c>
      <c r="D400" s="5">
        <v>19.989999999999998</v>
      </c>
      <c r="E400" s="4">
        <v>10008582500</v>
      </c>
      <c r="F400" s="3" t="s">
        <v>5532</v>
      </c>
      <c r="G400" s="7" t="s">
        <v>6252</v>
      </c>
      <c r="H400" s="3" t="s">
        <v>6652</v>
      </c>
      <c r="I400" s="3" t="s">
        <v>6681</v>
      </c>
      <c r="J400" s="3" t="s">
        <v>5536</v>
      </c>
      <c r="K400" s="3" t="s">
        <v>6316</v>
      </c>
      <c r="L400" s="8" t="str">
        <f>HYPERLINK("http://slimages.macys.com/is/image/MCY/15925398 ")</f>
        <v xml:space="preserve">http://slimages.macys.com/is/image/MCY/15925398 </v>
      </c>
    </row>
    <row r="401" spans="1:12" ht="24.75" x14ac:dyDescent="0.25">
      <c r="A401" s="6" t="s">
        <v>6679</v>
      </c>
      <c r="B401" s="3" t="s">
        <v>6680</v>
      </c>
      <c r="C401" s="4">
        <v>3</v>
      </c>
      <c r="D401" s="5">
        <v>59.97</v>
      </c>
      <c r="E401" s="4">
        <v>10008582400</v>
      </c>
      <c r="F401" s="3" t="s">
        <v>5540</v>
      </c>
      <c r="G401" s="7" t="s">
        <v>6252</v>
      </c>
      <c r="H401" s="3" t="s">
        <v>6652</v>
      </c>
      <c r="I401" s="3" t="s">
        <v>6681</v>
      </c>
      <c r="J401" s="3" t="s">
        <v>5536</v>
      </c>
      <c r="K401" s="3" t="s">
        <v>6316</v>
      </c>
      <c r="L401" s="8" t="str">
        <f>HYPERLINK("http://slimages.macys.com/is/image/MCY/15899064 ")</f>
        <v xml:space="preserve">http://slimages.macys.com/is/image/MCY/15899064 </v>
      </c>
    </row>
    <row r="402" spans="1:12" ht="24.75" x14ac:dyDescent="0.25">
      <c r="A402" s="6" t="s">
        <v>5154</v>
      </c>
      <c r="B402" s="3" t="s">
        <v>6743</v>
      </c>
      <c r="C402" s="4">
        <v>2</v>
      </c>
      <c r="D402" s="5">
        <v>39.979999999999997</v>
      </c>
      <c r="E402" s="4">
        <v>10008582300</v>
      </c>
      <c r="F402" s="3" t="s">
        <v>5625</v>
      </c>
      <c r="G402" s="7" t="s">
        <v>6252</v>
      </c>
      <c r="H402" s="3" t="s">
        <v>6652</v>
      </c>
      <c r="I402" s="3" t="s">
        <v>6681</v>
      </c>
      <c r="J402" s="3" t="s">
        <v>5536</v>
      </c>
      <c r="K402" s="3" t="s">
        <v>6316</v>
      </c>
      <c r="L402" s="8" t="str">
        <f>HYPERLINK("http://slimages.macys.com/is/image/MCY/15925380 ")</f>
        <v xml:space="preserve">http://slimages.macys.com/is/image/MCY/15925380 </v>
      </c>
    </row>
    <row r="403" spans="1:12" ht="24.75" x14ac:dyDescent="0.25">
      <c r="A403" s="6" t="s">
        <v>4423</v>
      </c>
      <c r="B403" s="3" t="s">
        <v>6688</v>
      </c>
      <c r="C403" s="4">
        <v>2</v>
      </c>
      <c r="D403" s="5">
        <v>39.979999999999997</v>
      </c>
      <c r="E403" s="4">
        <v>10008575200</v>
      </c>
      <c r="F403" s="3" t="s">
        <v>5578</v>
      </c>
      <c r="G403" s="7" t="s">
        <v>6252</v>
      </c>
      <c r="H403" s="3" t="s">
        <v>6652</v>
      </c>
      <c r="I403" s="3" t="s">
        <v>6686</v>
      </c>
      <c r="J403" s="3" t="s">
        <v>5536</v>
      </c>
      <c r="K403" s="3" t="s">
        <v>6316</v>
      </c>
      <c r="L403" s="8" t="str">
        <f>HYPERLINK("http://slimages.macys.com/is/image/MCY/15899484 ")</f>
        <v xml:space="preserve">http://slimages.macys.com/is/image/MCY/15899484 </v>
      </c>
    </row>
    <row r="404" spans="1:12" ht="24.75" x14ac:dyDescent="0.25">
      <c r="A404" s="6" t="s">
        <v>5155</v>
      </c>
      <c r="B404" s="3" t="s">
        <v>5143</v>
      </c>
      <c r="C404" s="4">
        <v>1</v>
      </c>
      <c r="D404" s="5">
        <v>19.989999999999998</v>
      </c>
      <c r="E404" s="4">
        <v>10008582100</v>
      </c>
      <c r="F404" s="3" t="s">
        <v>5661</v>
      </c>
      <c r="G404" s="7" t="s">
        <v>6252</v>
      </c>
      <c r="H404" s="3" t="s">
        <v>6652</v>
      </c>
      <c r="I404" s="3" t="s">
        <v>6681</v>
      </c>
      <c r="J404" s="3" t="s">
        <v>5536</v>
      </c>
      <c r="K404" s="3" t="s">
        <v>6316</v>
      </c>
      <c r="L404" s="8" t="str">
        <f>HYPERLINK("http://slimages.macys.com/is/image/MCY/15899712 ")</f>
        <v xml:space="preserve">http://slimages.macys.com/is/image/MCY/15899712 </v>
      </c>
    </row>
    <row r="405" spans="1:12" ht="36.75" x14ac:dyDescent="0.25">
      <c r="A405" s="6" t="s">
        <v>5156</v>
      </c>
      <c r="B405" s="3" t="s">
        <v>6651</v>
      </c>
      <c r="C405" s="4">
        <v>1</v>
      </c>
      <c r="D405" s="5">
        <v>19.989999999999998</v>
      </c>
      <c r="E405" s="4">
        <v>10008454000</v>
      </c>
      <c r="F405" s="3" t="s">
        <v>5661</v>
      </c>
      <c r="G405" s="7" t="s">
        <v>6252</v>
      </c>
      <c r="H405" s="3" t="s">
        <v>6652</v>
      </c>
      <c r="I405" s="3" t="s">
        <v>6681</v>
      </c>
      <c r="J405" s="3" t="s">
        <v>5536</v>
      </c>
      <c r="K405" s="3" t="s">
        <v>5157</v>
      </c>
      <c r="L405" s="8" t="str">
        <f>HYPERLINK("http://slimages.macys.com/is/image/MCY/15916976 ")</f>
        <v xml:space="preserve">http://slimages.macys.com/is/image/MCY/15916976 </v>
      </c>
    </row>
    <row r="406" spans="1:12" ht="24.75" x14ac:dyDescent="0.25">
      <c r="A406" s="6" t="s">
        <v>6742</v>
      </c>
      <c r="B406" s="3" t="s">
        <v>6743</v>
      </c>
      <c r="C406" s="4">
        <v>1</v>
      </c>
      <c r="D406" s="5">
        <v>19.989999999999998</v>
      </c>
      <c r="E406" s="4">
        <v>10008582300</v>
      </c>
      <c r="F406" s="3" t="s">
        <v>5540</v>
      </c>
      <c r="G406" s="7" t="s">
        <v>6252</v>
      </c>
      <c r="H406" s="3" t="s">
        <v>6652</v>
      </c>
      <c r="I406" s="3" t="s">
        <v>6681</v>
      </c>
      <c r="J406" s="3" t="s">
        <v>5536</v>
      </c>
      <c r="K406" s="3" t="s">
        <v>6316</v>
      </c>
      <c r="L406" s="8" t="str">
        <f>HYPERLINK("http://slimages.macys.com/is/image/MCY/15925380 ")</f>
        <v xml:space="preserve">http://slimages.macys.com/is/image/MCY/15925380 </v>
      </c>
    </row>
    <row r="407" spans="1:12" ht="24.75" x14ac:dyDescent="0.25">
      <c r="A407" s="6" t="s">
        <v>4420</v>
      </c>
      <c r="B407" s="3" t="s">
        <v>4414</v>
      </c>
      <c r="C407" s="4">
        <v>2</v>
      </c>
      <c r="D407" s="5">
        <v>39.979999999999997</v>
      </c>
      <c r="E407" s="4">
        <v>10008575300</v>
      </c>
      <c r="F407" s="3" t="s">
        <v>5610</v>
      </c>
      <c r="G407" s="7" t="s">
        <v>6252</v>
      </c>
      <c r="H407" s="3" t="s">
        <v>6652</v>
      </c>
      <c r="I407" s="3" t="s">
        <v>6686</v>
      </c>
      <c r="J407" s="3" t="s">
        <v>5536</v>
      </c>
      <c r="K407" s="3" t="s">
        <v>6316</v>
      </c>
      <c r="L407" s="8" t="str">
        <f>HYPERLINK("http://slimages.macys.com/is/image/MCY/15899629 ")</f>
        <v xml:space="preserve">http://slimages.macys.com/is/image/MCY/15899629 </v>
      </c>
    </row>
    <row r="408" spans="1:12" ht="24.75" x14ac:dyDescent="0.25">
      <c r="A408" s="6" t="s">
        <v>4417</v>
      </c>
      <c r="B408" s="3" t="s">
        <v>6690</v>
      </c>
      <c r="C408" s="4">
        <v>1</v>
      </c>
      <c r="D408" s="5">
        <v>19.989999999999998</v>
      </c>
      <c r="E408" s="4">
        <v>10008575000</v>
      </c>
      <c r="F408" s="3" t="s">
        <v>5661</v>
      </c>
      <c r="G408" s="7" t="s">
        <v>6252</v>
      </c>
      <c r="H408" s="3" t="s">
        <v>6652</v>
      </c>
      <c r="I408" s="3" t="s">
        <v>6686</v>
      </c>
      <c r="J408" s="3" t="s">
        <v>5536</v>
      </c>
      <c r="K408" s="3" t="s">
        <v>6316</v>
      </c>
      <c r="L408" s="8" t="str">
        <f>HYPERLINK("http://slimages.macys.com/is/image/MCY/15899453 ")</f>
        <v xml:space="preserve">http://slimages.macys.com/is/image/MCY/15899453 </v>
      </c>
    </row>
    <row r="409" spans="1:12" ht="24.75" x14ac:dyDescent="0.25">
      <c r="A409" s="6" t="s">
        <v>6687</v>
      </c>
      <c r="B409" s="3" t="s">
        <v>6688</v>
      </c>
      <c r="C409" s="4">
        <v>4</v>
      </c>
      <c r="D409" s="5">
        <v>79.959999999999994</v>
      </c>
      <c r="E409" s="4">
        <v>10008575200</v>
      </c>
      <c r="F409" s="3" t="s">
        <v>5552</v>
      </c>
      <c r="G409" s="7" t="s">
        <v>6252</v>
      </c>
      <c r="H409" s="3" t="s">
        <v>6652</v>
      </c>
      <c r="I409" s="3" t="s">
        <v>6686</v>
      </c>
      <c r="J409" s="3" t="s">
        <v>5536</v>
      </c>
      <c r="K409" s="3" t="s">
        <v>6316</v>
      </c>
      <c r="L409" s="8" t="str">
        <f>HYPERLINK("http://slimages.macys.com/is/image/MCY/15899484 ")</f>
        <v xml:space="preserve">http://slimages.macys.com/is/image/MCY/15899484 </v>
      </c>
    </row>
    <row r="410" spans="1:12" ht="24.75" x14ac:dyDescent="0.25">
      <c r="A410" s="6" t="s">
        <v>4422</v>
      </c>
      <c r="B410" s="3" t="s">
        <v>4414</v>
      </c>
      <c r="C410" s="4">
        <v>3</v>
      </c>
      <c r="D410" s="5">
        <v>59.97</v>
      </c>
      <c r="E410" s="4">
        <v>10008575300</v>
      </c>
      <c r="F410" s="3" t="s">
        <v>5661</v>
      </c>
      <c r="G410" s="7" t="s">
        <v>6252</v>
      </c>
      <c r="H410" s="3" t="s">
        <v>6652</v>
      </c>
      <c r="I410" s="3" t="s">
        <v>6686</v>
      </c>
      <c r="J410" s="3" t="s">
        <v>5536</v>
      </c>
      <c r="K410" s="3" t="s">
        <v>6316</v>
      </c>
      <c r="L410" s="8" t="str">
        <f>HYPERLINK("http://slimages.macys.com/is/image/MCY/15899629 ")</f>
        <v xml:space="preserve">http://slimages.macys.com/is/image/MCY/15899629 </v>
      </c>
    </row>
    <row r="411" spans="1:12" ht="24.75" x14ac:dyDescent="0.25">
      <c r="A411" s="6" t="s">
        <v>5158</v>
      </c>
      <c r="B411" s="3" t="s">
        <v>6731</v>
      </c>
      <c r="C411" s="4">
        <v>1</v>
      </c>
      <c r="D411" s="5">
        <v>19.989999999999998</v>
      </c>
      <c r="E411" s="4">
        <v>10008576100</v>
      </c>
      <c r="F411" s="3" t="s">
        <v>5661</v>
      </c>
      <c r="G411" s="7" t="s">
        <v>6252</v>
      </c>
      <c r="H411" s="3" t="s">
        <v>6652</v>
      </c>
      <c r="I411" s="3" t="s">
        <v>6686</v>
      </c>
      <c r="J411" s="3" t="s">
        <v>5536</v>
      </c>
      <c r="K411" s="3" t="s">
        <v>6316</v>
      </c>
      <c r="L411" s="8" t="str">
        <f>HYPERLINK("http://slimages.macys.com/is/image/MCY/15612024 ")</f>
        <v xml:space="preserve">http://slimages.macys.com/is/image/MCY/15612024 </v>
      </c>
    </row>
    <row r="412" spans="1:12" ht="24.75" x14ac:dyDescent="0.25">
      <c r="A412" s="6" t="s">
        <v>4411</v>
      </c>
      <c r="B412" s="3" t="s">
        <v>4412</v>
      </c>
      <c r="C412" s="4">
        <v>2</v>
      </c>
      <c r="D412" s="5">
        <v>39.979999999999997</v>
      </c>
      <c r="E412" s="4">
        <v>10008584400</v>
      </c>
      <c r="F412" s="3" t="s">
        <v>5661</v>
      </c>
      <c r="G412" s="7" t="s">
        <v>6252</v>
      </c>
      <c r="H412" s="3" t="s">
        <v>6652</v>
      </c>
      <c r="I412" s="3" t="s">
        <v>6686</v>
      </c>
      <c r="J412" s="3" t="s">
        <v>5536</v>
      </c>
      <c r="K412" s="3" t="s">
        <v>6316</v>
      </c>
      <c r="L412" s="8" t="str">
        <f>HYPERLINK("http://slimages.macys.com/is/image/MCY/15882571 ")</f>
        <v xml:space="preserve">http://slimages.macys.com/is/image/MCY/15882571 </v>
      </c>
    </row>
    <row r="413" spans="1:12" ht="24.75" x14ac:dyDescent="0.25">
      <c r="A413" s="6" t="s">
        <v>5159</v>
      </c>
      <c r="B413" s="3" t="s">
        <v>5147</v>
      </c>
      <c r="C413" s="4">
        <v>2</v>
      </c>
      <c r="D413" s="5">
        <v>39.979999999999997</v>
      </c>
      <c r="E413" s="4">
        <v>10007797700</v>
      </c>
      <c r="F413" s="3" t="s">
        <v>5540</v>
      </c>
      <c r="G413" s="7" t="s">
        <v>6252</v>
      </c>
      <c r="H413" s="3" t="s">
        <v>6652</v>
      </c>
      <c r="I413" s="3" t="s">
        <v>6681</v>
      </c>
      <c r="J413" s="3" t="s">
        <v>5536</v>
      </c>
      <c r="K413" s="3" t="s">
        <v>6316</v>
      </c>
      <c r="L413" s="8" t="str">
        <f>HYPERLINK("http://slimages.macys.com/is/image/MCY/14912093 ")</f>
        <v xml:space="preserve">http://slimages.macys.com/is/image/MCY/14912093 </v>
      </c>
    </row>
    <row r="414" spans="1:12" ht="24.75" x14ac:dyDescent="0.25">
      <c r="A414" s="6" t="s">
        <v>5160</v>
      </c>
      <c r="B414" s="3" t="s">
        <v>6680</v>
      </c>
      <c r="C414" s="4">
        <v>1</v>
      </c>
      <c r="D414" s="5">
        <v>19.989999999999998</v>
      </c>
      <c r="E414" s="4">
        <v>10008582400</v>
      </c>
      <c r="F414" s="3" t="s">
        <v>5532</v>
      </c>
      <c r="G414" s="7" t="s">
        <v>6252</v>
      </c>
      <c r="H414" s="3" t="s">
        <v>6652</v>
      </c>
      <c r="I414" s="3" t="s">
        <v>6681</v>
      </c>
      <c r="J414" s="3" t="s">
        <v>5536</v>
      </c>
      <c r="K414" s="3" t="s">
        <v>6316</v>
      </c>
      <c r="L414" s="8" t="str">
        <f>HYPERLINK("http://slimages.macys.com/is/image/MCY/15899064 ")</f>
        <v xml:space="preserve">http://slimages.macys.com/is/image/MCY/15899064 </v>
      </c>
    </row>
    <row r="415" spans="1:12" ht="24.75" x14ac:dyDescent="0.25">
      <c r="A415" s="6" t="s">
        <v>5161</v>
      </c>
      <c r="B415" s="3" t="s">
        <v>5149</v>
      </c>
      <c r="C415" s="4">
        <v>1</v>
      </c>
      <c r="D415" s="5">
        <v>19.989999999999998</v>
      </c>
      <c r="E415" s="4">
        <v>10008453900</v>
      </c>
      <c r="F415" s="3" t="s">
        <v>5532</v>
      </c>
      <c r="G415" s="7" t="s">
        <v>6252</v>
      </c>
      <c r="H415" s="3" t="s">
        <v>6652</v>
      </c>
      <c r="I415" s="3" t="s">
        <v>6681</v>
      </c>
      <c r="J415" s="3" t="s">
        <v>5536</v>
      </c>
      <c r="K415" s="3" t="s">
        <v>6316</v>
      </c>
      <c r="L415" s="8" t="str">
        <f>HYPERLINK("http://slimages.macys.com/is/image/MCY/15916956 ")</f>
        <v xml:space="preserve">http://slimages.macys.com/is/image/MCY/15916956 </v>
      </c>
    </row>
    <row r="416" spans="1:12" ht="24.75" x14ac:dyDescent="0.25">
      <c r="A416" s="6" t="s">
        <v>6682</v>
      </c>
      <c r="B416" s="3" t="s">
        <v>6683</v>
      </c>
      <c r="C416" s="4">
        <v>1</v>
      </c>
      <c r="D416" s="5">
        <v>19.989999999999998</v>
      </c>
      <c r="E416" s="4">
        <v>10008581600</v>
      </c>
      <c r="F416" s="3" t="s">
        <v>5540</v>
      </c>
      <c r="G416" s="7" t="s">
        <v>6252</v>
      </c>
      <c r="H416" s="3" t="s">
        <v>6652</v>
      </c>
      <c r="I416" s="3" t="s">
        <v>6681</v>
      </c>
      <c r="J416" s="3" t="s">
        <v>5536</v>
      </c>
      <c r="K416" s="3" t="s">
        <v>6316</v>
      </c>
      <c r="L416" s="8" t="str">
        <f>HYPERLINK("http://slimages.macys.com/is/image/MCY/15419833 ")</f>
        <v xml:space="preserve">http://slimages.macys.com/is/image/MCY/15419833 </v>
      </c>
    </row>
    <row r="417" spans="1:12" ht="24.75" x14ac:dyDescent="0.25">
      <c r="A417" s="6" t="s">
        <v>5162</v>
      </c>
      <c r="B417" s="3" t="s">
        <v>6714</v>
      </c>
      <c r="C417" s="4">
        <v>1</v>
      </c>
      <c r="D417" s="5">
        <v>19.989999999999998</v>
      </c>
      <c r="E417" s="4">
        <v>10007022800</v>
      </c>
      <c r="F417" s="3" t="s">
        <v>5540</v>
      </c>
      <c r="G417" s="7" t="s">
        <v>6252</v>
      </c>
      <c r="H417" s="3" t="s">
        <v>6652</v>
      </c>
      <c r="I417" s="3" t="s">
        <v>6681</v>
      </c>
      <c r="J417" s="3" t="s">
        <v>5536</v>
      </c>
      <c r="K417" s="3" t="s">
        <v>6338</v>
      </c>
      <c r="L417" s="8" t="str">
        <f>HYPERLINK("http://slimages.macys.com/is/image/MCY/13050572 ")</f>
        <v xml:space="preserve">http://slimages.macys.com/is/image/MCY/13050572 </v>
      </c>
    </row>
    <row r="418" spans="1:12" ht="24.75" x14ac:dyDescent="0.25">
      <c r="A418" s="6" t="s">
        <v>5163</v>
      </c>
      <c r="B418" s="3" t="s">
        <v>5164</v>
      </c>
      <c r="C418" s="4">
        <v>1</v>
      </c>
      <c r="D418" s="5">
        <v>19.989999999999998</v>
      </c>
      <c r="E418" s="4">
        <v>10008452500</v>
      </c>
      <c r="F418" s="3" t="s">
        <v>5552</v>
      </c>
      <c r="G418" s="7" t="s">
        <v>6252</v>
      </c>
      <c r="H418" s="3" t="s">
        <v>6652</v>
      </c>
      <c r="I418" s="3" t="s">
        <v>6686</v>
      </c>
      <c r="J418" s="3" t="s">
        <v>5536</v>
      </c>
      <c r="K418" s="3" t="s">
        <v>6316</v>
      </c>
      <c r="L418" s="8" t="str">
        <f>HYPERLINK("http://slimages.macys.com/is/image/MCY/15362481 ")</f>
        <v xml:space="preserve">http://slimages.macys.com/is/image/MCY/15362481 </v>
      </c>
    </row>
    <row r="419" spans="1:12" ht="24.75" x14ac:dyDescent="0.25">
      <c r="A419" s="6" t="s">
        <v>6740</v>
      </c>
      <c r="B419" s="3" t="s">
        <v>6717</v>
      </c>
      <c r="C419" s="4">
        <v>1</v>
      </c>
      <c r="D419" s="5">
        <v>19.989999999999998</v>
      </c>
      <c r="E419" s="4">
        <v>10007797300</v>
      </c>
      <c r="F419" s="3" t="s">
        <v>5532</v>
      </c>
      <c r="G419" s="7" t="s">
        <v>6252</v>
      </c>
      <c r="H419" s="3" t="s">
        <v>6652</v>
      </c>
      <c r="I419" s="3" t="s">
        <v>6686</v>
      </c>
      <c r="J419" s="3" t="s">
        <v>5536</v>
      </c>
      <c r="K419" s="3" t="s">
        <v>6316</v>
      </c>
      <c r="L419" s="8" t="str">
        <f>HYPERLINK("http://slimages.macys.com/is/image/MCY/13936405 ")</f>
        <v xml:space="preserve">http://slimages.macys.com/is/image/MCY/13936405 </v>
      </c>
    </row>
    <row r="420" spans="1:12" ht="24.75" x14ac:dyDescent="0.25">
      <c r="A420" s="6" t="s">
        <v>5165</v>
      </c>
      <c r="B420" s="3" t="s">
        <v>5166</v>
      </c>
      <c r="C420" s="4">
        <v>1</v>
      </c>
      <c r="D420" s="5">
        <v>19.989999999999998</v>
      </c>
      <c r="E420" s="4">
        <v>10007796200</v>
      </c>
      <c r="F420" s="3" t="s">
        <v>6300</v>
      </c>
      <c r="G420" s="7" t="s">
        <v>6252</v>
      </c>
      <c r="H420" s="3" t="s">
        <v>6652</v>
      </c>
      <c r="I420" s="3" t="s">
        <v>6686</v>
      </c>
      <c r="J420" s="3" t="s">
        <v>5536</v>
      </c>
      <c r="K420" s="3" t="s">
        <v>6316</v>
      </c>
      <c r="L420" s="8" t="str">
        <f>HYPERLINK("http://slimages.macys.com/is/image/MCY/13849489 ")</f>
        <v xml:space="preserve">http://slimages.macys.com/is/image/MCY/13849489 </v>
      </c>
    </row>
    <row r="421" spans="1:12" ht="24.75" x14ac:dyDescent="0.25">
      <c r="A421" s="6" t="s">
        <v>4418</v>
      </c>
      <c r="B421" s="3" t="s">
        <v>4419</v>
      </c>
      <c r="C421" s="4">
        <v>1</v>
      </c>
      <c r="D421" s="5">
        <v>19.989999999999998</v>
      </c>
      <c r="E421" s="4">
        <v>10006793000</v>
      </c>
      <c r="F421" s="3" t="s">
        <v>6275</v>
      </c>
      <c r="G421" s="7" t="s">
        <v>6252</v>
      </c>
      <c r="H421" s="3" t="s">
        <v>6652</v>
      </c>
      <c r="I421" s="3" t="s">
        <v>6686</v>
      </c>
      <c r="J421" s="3" t="s">
        <v>5536</v>
      </c>
      <c r="K421" s="3" t="s">
        <v>6338</v>
      </c>
      <c r="L421" s="8" t="str">
        <f>HYPERLINK("http://slimages.macys.com/is/image/MCY/12712270 ")</f>
        <v xml:space="preserve">http://slimages.macys.com/is/image/MCY/12712270 </v>
      </c>
    </row>
    <row r="422" spans="1:12" ht="24.75" x14ac:dyDescent="0.25">
      <c r="A422" s="6" t="s">
        <v>5167</v>
      </c>
      <c r="B422" s="3" t="s">
        <v>6696</v>
      </c>
      <c r="C422" s="4">
        <v>1</v>
      </c>
      <c r="D422" s="5">
        <v>19.989999999999998</v>
      </c>
      <c r="E422" s="4">
        <v>10005867200</v>
      </c>
      <c r="F422" s="3" t="s">
        <v>5532</v>
      </c>
      <c r="G422" s="7" t="s">
        <v>6252</v>
      </c>
      <c r="H422" s="3" t="s">
        <v>6652</v>
      </c>
      <c r="I422" s="3" t="s">
        <v>6686</v>
      </c>
      <c r="J422" s="3" t="s">
        <v>5536</v>
      </c>
      <c r="K422" s="3" t="s">
        <v>6338</v>
      </c>
      <c r="L422" s="8" t="str">
        <f>HYPERLINK("http://slimages.macys.com/is/image/MCY/11607330 ")</f>
        <v xml:space="preserve">http://slimages.macys.com/is/image/MCY/11607330 </v>
      </c>
    </row>
    <row r="423" spans="1:12" ht="24.75" x14ac:dyDescent="0.25">
      <c r="A423" s="6" t="s">
        <v>6727</v>
      </c>
      <c r="B423" s="3" t="s">
        <v>6688</v>
      </c>
      <c r="C423" s="4">
        <v>1</v>
      </c>
      <c r="D423" s="5">
        <v>19.989999999999998</v>
      </c>
      <c r="E423" s="4">
        <v>10008575200</v>
      </c>
      <c r="F423" s="3" t="s">
        <v>5625</v>
      </c>
      <c r="G423" s="7" t="s">
        <v>6252</v>
      </c>
      <c r="H423" s="3" t="s">
        <v>6652</v>
      </c>
      <c r="I423" s="3" t="s">
        <v>6686</v>
      </c>
      <c r="J423" s="3" t="s">
        <v>5536</v>
      </c>
      <c r="K423" s="3" t="s">
        <v>6316</v>
      </c>
      <c r="L423" s="8" t="str">
        <f>HYPERLINK("http://slimages.macys.com/is/image/MCY/15899484 ")</f>
        <v xml:space="preserve">http://slimages.macys.com/is/image/MCY/15899484 </v>
      </c>
    </row>
    <row r="424" spans="1:12" ht="24.75" x14ac:dyDescent="0.25">
      <c r="A424" s="6" t="s">
        <v>6741</v>
      </c>
      <c r="B424" s="3" t="s">
        <v>6657</v>
      </c>
      <c r="C424" s="4">
        <v>2</v>
      </c>
      <c r="D424" s="5">
        <v>39.979999999999997</v>
      </c>
      <c r="E424" s="4">
        <v>10008582700</v>
      </c>
      <c r="F424" s="3" t="s">
        <v>5625</v>
      </c>
      <c r="G424" s="7" t="s">
        <v>6252</v>
      </c>
      <c r="H424" s="3" t="s">
        <v>6652</v>
      </c>
      <c r="I424" s="3" t="s">
        <v>6681</v>
      </c>
      <c r="J424" s="3" t="s">
        <v>5536</v>
      </c>
      <c r="K424" s="3" t="s">
        <v>6316</v>
      </c>
      <c r="L424" s="8" t="str">
        <f>HYPERLINK("http://slimages.macys.com/is/image/MCY/15611837 ")</f>
        <v xml:space="preserve">http://slimages.macys.com/is/image/MCY/15611837 </v>
      </c>
    </row>
    <row r="425" spans="1:12" ht="24.75" x14ac:dyDescent="0.25">
      <c r="A425" s="6" t="s">
        <v>5168</v>
      </c>
      <c r="B425" s="3" t="s">
        <v>4419</v>
      </c>
      <c r="C425" s="4">
        <v>2</v>
      </c>
      <c r="D425" s="5">
        <v>39.979999999999997</v>
      </c>
      <c r="E425" s="4">
        <v>10006793000</v>
      </c>
      <c r="F425" s="3" t="s">
        <v>5578</v>
      </c>
      <c r="G425" s="7" t="s">
        <v>6252</v>
      </c>
      <c r="H425" s="3" t="s">
        <v>6652</v>
      </c>
      <c r="I425" s="3" t="s">
        <v>6686</v>
      </c>
      <c r="J425" s="3" t="s">
        <v>5536</v>
      </c>
      <c r="K425" s="3" t="s">
        <v>6338</v>
      </c>
      <c r="L425" s="8" t="str">
        <f>HYPERLINK("http://slimages.macys.com/is/image/MCY/12712264 ")</f>
        <v xml:space="preserve">http://slimages.macys.com/is/image/MCY/12712264 </v>
      </c>
    </row>
    <row r="426" spans="1:12" ht="24.75" x14ac:dyDescent="0.25">
      <c r="A426" s="6" t="s">
        <v>5169</v>
      </c>
      <c r="B426" s="3" t="s">
        <v>5170</v>
      </c>
      <c r="C426" s="4">
        <v>1</v>
      </c>
      <c r="D426" s="5">
        <v>19.989999999999998</v>
      </c>
      <c r="E426" s="4">
        <v>10007798400</v>
      </c>
      <c r="F426" s="3" t="s">
        <v>5540</v>
      </c>
      <c r="G426" s="7" t="s">
        <v>6252</v>
      </c>
      <c r="H426" s="3" t="s">
        <v>6652</v>
      </c>
      <c r="I426" s="3" t="s">
        <v>6681</v>
      </c>
      <c r="J426" s="3" t="s">
        <v>5536</v>
      </c>
      <c r="K426" s="3" t="s">
        <v>6316</v>
      </c>
      <c r="L426" s="8" t="str">
        <f>HYPERLINK("http://slimages.macys.com/is/image/MCY/14912134 ")</f>
        <v xml:space="preserve">http://slimages.macys.com/is/image/MCY/14912134 </v>
      </c>
    </row>
    <row r="427" spans="1:12" ht="24.75" x14ac:dyDescent="0.25">
      <c r="A427" s="6" t="s">
        <v>6702</v>
      </c>
      <c r="B427" s="3" t="s">
        <v>6657</v>
      </c>
      <c r="C427" s="4">
        <v>1</v>
      </c>
      <c r="D427" s="5">
        <v>19.989999999999998</v>
      </c>
      <c r="E427" s="4">
        <v>10008582700</v>
      </c>
      <c r="F427" s="3" t="s">
        <v>6703</v>
      </c>
      <c r="G427" s="7" t="s">
        <v>6252</v>
      </c>
      <c r="H427" s="3" t="s">
        <v>6652</v>
      </c>
      <c r="I427" s="3" t="s">
        <v>6681</v>
      </c>
      <c r="J427" s="3" t="s">
        <v>5536</v>
      </c>
      <c r="K427" s="3" t="s">
        <v>6316</v>
      </c>
      <c r="L427" s="8" t="str">
        <f>HYPERLINK("http://slimages.macys.com/is/image/MCY/15611837 ")</f>
        <v xml:space="preserve">http://slimages.macys.com/is/image/MCY/15611837 </v>
      </c>
    </row>
    <row r="428" spans="1:12" ht="24.75" x14ac:dyDescent="0.25">
      <c r="A428" s="6" t="s">
        <v>4413</v>
      </c>
      <c r="B428" s="3" t="s">
        <v>4414</v>
      </c>
      <c r="C428" s="4">
        <v>3</v>
      </c>
      <c r="D428" s="5">
        <v>59.97</v>
      </c>
      <c r="E428" s="4">
        <v>10008575300</v>
      </c>
      <c r="F428" s="3" t="s">
        <v>5532</v>
      </c>
      <c r="G428" s="7" t="s">
        <v>6252</v>
      </c>
      <c r="H428" s="3" t="s">
        <v>6652</v>
      </c>
      <c r="I428" s="3" t="s">
        <v>6686</v>
      </c>
      <c r="J428" s="3" t="s">
        <v>5536</v>
      </c>
      <c r="K428" s="3" t="s">
        <v>6316</v>
      </c>
      <c r="L428" s="8" t="str">
        <f>HYPERLINK("http://slimages.macys.com/is/image/MCY/15899629 ")</f>
        <v xml:space="preserve">http://slimages.macys.com/is/image/MCY/15899629 </v>
      </c>
    </row>
    <row r="429" spans="1:12" ht="24.75" x14ac:dyDescent="0.25">
      <c r="A429" s="6" t="s">
        <v>6691</v>
      </c>
      <c r="B429" s="3" t="s">
        <v>6690</v>
      </c>
      <c r="C429" s="4">
        <v>4</v>
      </c>
      <c r="D429" s="5">
        <v>79.959999999999994</v>
      </c>
      <c r="E429" s="4">
        <v>10008575000</v>
      </c>
      <c r="F429" s="3" t="s">
        <v>5625</v>
      </c>
      <c r="G429" s="7" t="s">
        <v>6252</v>
      </c>
      <c r="H429" s="3" t="s">
        <v>6652</v>
      </c>
      <c r="I429" s="3" t="s">
        <v>6686</v>
      </c>
      <c r="J429" s="3" t="s">
        <v>5536</v>
      </c>
      <c r="K429" s="3" t="s">
        <v>6316</v>
      </c>
      <c r="L429" s="8" t="str">
        <f>HYPERLINK("http://slimages.macys.com/is/image/MCY/15899453 ")</f>
        <v xml:space="preserve">http://slimages.macys.com/is/image/MCY/15899453 </v>
      </c>
    </row>
    <row r="430" spans="1:12" ht="24.75" x14ac:dyDescent="0.25">
      <c r="A430" s="6" t="s">
        <v>6704</v>
      </c>
      <c r="B430" s="3" t="s">
        <v>6698</v>
      </c>
      <c r="C430" s="4">
        <v>1</v>
      </c>
      <c r="D430" s="5">
        <v>19.989999999999998</v>
      </c>
      <c r="E430" s="4">
        <v>10008526500</v>
      </c>
      <c r="F430" s="3" t="s">
        <v>5532</v>
      </c>
      <c r="G430" s="7" t="s">
        <v>6252</v>
      </c>
      <c r="H430" s="3" t="s">
        <v>6652</v>
      </c>
      <c r="I430" s="3" t="s">
        <v>6686</v>
      </c>
      <c r="J430" s="3" t="s">
        <v>5536</v>
      </c>
      <c r="K430" s="3" t="s">
        <v>6316</v>
      </c>
      <c r="L430" s="8" t="str">
        <f>HYPERLINK("http://slimages.macys.com/is/image/MCY/14814865 ")</f>
        <v xml:space="preserve">http://slimages.macys.com/is/image/MCY/14814865 </v>
      </c>
    </row>
    <row r="431" spans="1:12" ht="24.75" x14ac:dyDescent="0.25">
      <c r="A431" s="6" t="s">
        <v>6734</v>
      </c>
      <c r="B431" s="3" t="s">
        <v>6688</v>
      </c>
      <c r="C431" s="4">
        <v>2</v>
      </c>
      <c r="D431" s="5">
        <v>39.979999999999997</v>
      </c>
      <c r="E431" s="4">
        <v>10008575200</v>
      </c>
      <c r="F431" s="3" t="s">
        <v>5532</v>
      </c>
      <c r="G431" s="7" t="s">
        <v>6252</v>
      </c>
      <c r="H431" s="3" t="s">
        <v>6652</v>
      </c>
      <c r="I431" s="3" t="s">
        <v>6686</v>
      </c>
      <c r="J431" s="3" t="s">
        <v>5536</v>
      </c>
      <c r="K431" s="3" t="s">
        <v>6316</v>
      </c>
      <c r="L431" s="8" t="str">
        <f>HYPERLINK("http://slimages.macys.com/is/image/MCY/15899484 ")</f>
        <v xml:space="preserve">http://slimages.macys.com/is/image/MCY/15899484 </v>
      </c>
    </row>
    <row r="432" spans="1:12" ht="24.75" x14ac:dyDescent="0.25">
      <c r="A432" s="6" t="s">
        <v>5171</v>
      </c>
      <c r="B432" s="3" t="s">
        <v>5172</v>
      </c>
      <c r="C432" s="4">
        <v>2</v>
      </c>
      <c r="D432" s="5">
        <v>39.979999999999997</v>
      </c>
      <c r="E432" s="4">
        <v>10005869100</v>
      </c>
      <c r="F432" s="3" t="s">
        <v>5532</v>
      </c>
      <c r="G432" s="7" t="s">
        <v>6252</v>
      </c>
      <c r="H432" s="3" t="s">
        <v>6652</v>
      </c>
      <c r="I432" s="3" t="s">
        <v>6686</v>
      </c>
      <c r="J432" s="3" t="s">
        <v>5536</v>
      </c>
      <c r="K432" s="3" t="s">
        <v>5727</v>
      </c>
      <c r="L432" s="8" t="str">
        <f>HYPERLINK("http://slimages.macys.com/is/image/MCY/12673021 ")</f>
        <v xml:space="preserve">http://slimages.macys.com/is/image/MCY/12673021 </v>
      </c>
    </row>
    <row r="433" spans="1:12" ht="24.75" x14ac:dyDescent="0.25">
      <c r="A433" s="6" t="s">
        <v>5173</v>
      </c>
      <c r="B433" s="3" t="s">
        <v>5149</v>
      </c>
      <c r="C433" s="4">
        <v>1</v>
      </c>
      <c r="D433" s="5">
        <v>19.989999999999998</v>
      </c>
      <c r="E433" s="4">
        <v>10008453900</v>
      </c>
      <c r="F433" s="3" t="s">
        <v>5540</v>
      </c>
      <c r="G433" s="7" t="s">
        <v>6252</v>
      </c>
      <c r="H433" s="3" t="s">
        <v>6652</v>
      </c>
      <c r="I433" s="3" t="s">
        <v>6681</v>
      </c>
      <c r="J433" s="3" t="s">
        <v>5536</v>
      </c>
      <c r="K433" s="3" t="s">
        <v>6316</v>
      </c>
      <c r="L433" s="8" t="str">
        <f>HYPERLINK("http://slimages.macys.com/is/image/MCY/15916956 ")</f>
        <v xml:space="preserve">http://slimages.macys.com/is/image/MCY/15916956 </v>
      </c>
    </row>
    <row r="434" spans="1:12" ht="24.75" x14ac:dyDescent="0.25">
      <c r="A434" s="6" t="s">
        <v>5174</v>
      </c>
      <c r="B434" s="3" t="s">
        <v>5141</v>
      </c>
      <c r="C434" s="4">
        <v>1</v>
      </c>
      <c r="D434" s="5">
        <v>19.989999999999998</v>
      </c>
      <c r="E434" s="4">
        <v>10007797500</v>
      </c>
      <c r="F434" s="3" t="s">
        <v>5540</v>
      </c>
      <c r="G434" s="7" t="s">
        <v>6252</v>
      </c>
      <c r="H434" s="3" t="s">
        <v>6652</v>
      </c>
      <c r="I434" s="3" t="s">
        <v>6681</v>
      </c>
      <c r="J434" s="3" t="s">
        <v>5536</v>
      </c>
      <c r="K434" s="3" t="s">
        <v>6748</v>
      </c>
      <c r="L434" s="8" t="str">
        <f>HYPERLINK("http://slimages.macys.com/is/image/MCY/13784275 ")</f>
        <v xml:space="preserve">http://slimages.macys.com/is/image/MCY/13784275 </v>
      </c>
    </row>
    <row r="435" spans="1:12" ht="24.75" x14ac:dyDescent="0.25">
      <c r="A435" s="6" t="s">
        <v>5175</v>
      </c>
      <c r="B435" s="3" t="s">
        <v>5176</v>
      </c>
      <c r="C435" s="4">
        <v>1</v>
      </c>
      <c r="D435" s="5">
        <v>20</v>
      </c>
      <c r="E435" s="4" t="s">
        <v>5177</v>
      </c>
      <c r="F435" s="3" t="s">
        <v>5661</v>
      </c>
      <c r="G435" s="7" t="s">
        <v>5562</v>
      </c>
      <c r="H435" s="3" t="s">
        <v>6492</v>
      </c>
      <c r="I435" s="3" t="s">
        <v>6548</v>
      </c>
      <c r="J435" s="3" t="s">
        <v>5536</v>
      </c>
      <c r="K435" s="3" t="s">
        <v>5549</v>
      </c>
      <c r="L435" s="8" t="str">
        <f>HYPERLINK("http://slimages.macys.com/is/image/MCY/14540377 ")</f>
        <v xml:space="preserve">http://slimages.macys.com/is/image/MCY/14540377 </v>
      </c>
    </row>
    <row r="436" spans="1:12" ht="24.75" x14ac:dyDescent="0.25">
      <c r="A436" s="6" t="s">
        <v>5178</v>
      </c>
      <c r="B436" s="3" t="s">
        <v>5179</v>
      </c>
      <c r="C436" s="4">
        <v>1</v>
      </c>
      <c r="D436" s="5">
        <v>20</v>
      </c>
      <c r="E436" s="4" t="s">
        <v>5180</v>
      </c>
      <c r="F436" s="3" t="s">
        <v>5540</v>
      </c>
      <c r="G436" s="7" t="s">
        <v>5533</v>
      </c>
      <c r="H436" s="3" t="s">
        <v>6492</v>
      </c>
      <c r="I436" s="3" t="s">
        <v>6604</v>
      </c>
      <c r="J436" s="3" t="s">
        <v>5536</v>
      </c>
      <c r="K436" s="3" t="s">
        <v>5549</v>
      </c>
      <c r="L436" s="8" t="str">
        <f>HYPERLINK("http://slimages.macys.com/is/image/MCY/15851393 ")</f>
        <v xml:space="preserve">http://slimages.macys.com/is/image/MCY/15851393 </v>
      </c>
    </row>
    <row r="437" spans="1:12" ht="24.75" x14ac:dyDescent="0.25">
      <c r="A437" s="6" t="s">
        <v>5181</v>
      </c>
      <c r="B437" s="3" t="s">
        <v>5176</v>
      </c>
      <c r="C437" s="4">
        <v>2</v>
      </c>
      <c r="D437" s="5">
        <v>40</v>
      </c>
      <c r="E437" s="4" t="s">
        <v>5177</v>
      </c>
      <c r="F437" s="3" t="s">
        <v>5661</v>
      </c>
      <c r="G437" s="7" t="s">
        <v>5533</v>
      </c>
      <c r="H437" s="3" t="s">
        <v>6492</v>
      </c>
      <c r="I437" s="3" t="s">
        <v>6548</v>
      </c>
      <c r="J437" s="3" t="s">
        <v>5536</v>
      </c>
      <c r="K437" s="3" t="s">
        <v>5549</v>
      </c>
      <c r="L437" s="8" t="str">
        <f>HYPERLINK("http://slimages.macys.com/is/image/MCY/14540377 ")</f>
        <v xml:space="preserve">http://slimages.macys.com/is/image/MCY/14540377 </v>
      </c>
    </row>
    <row r="438" spans="1:12" ht="24.75" x14ac:dyDescent="0.25">
      <c r="A438" s="6" t="s">
        <v>5182</v>
      </c>
      <c r="B438" s="3" t="s">
        <v>6750</v>
      </c>
      <c r="C438" s="4">
        <v>1</v>
      </c>
      <c r="D438" s="5">
        <v>20</v>
      </c>
      <c r="E438" s="4" t="s">
        <v>6751</v>
      </c>
      <c r="F438" s="3" t="s">
        <v>5532</v>
      </c>
      <c r="G438" s="7" t="s">
        <v>5598</v>
      </c>
      <c r="H438" s="3" t="s">
        <v>6492</v>
      </c>
      <c r="I438" s="3" t="s">
        <v>6604</v>
      </c>
      <c r="J438" s="3" t="s">
        <v>5536</v>
      </c>
      <c r="K438" s="3" t="s">
        <v>5549</v>
      </c>
      <c r="L438" s="8" t="str">
        <f>HYPERLINK("http://slimages.macys.com/is/image/MCY/15851384 ")</f>
        <v xml:space="preserve">http://slimages.macys.com/is/image/MCY/15851384 </v>
      </c>
    </row>
    <row r="439" spans="1:12" ht="24.75" x14ac:dyDescent="0.25">
      <c r="A439" s="6" t="s">
        <v>5183</v>
      </c>
      <c r="B439" s="3" t="s">
        <v>5176</v>
      </c>
      <c r="C439" s="4">
        <v>1</v>
      </c>
      <c r="D439" s="5">
        <v>20</v>
      </c>
      <c r="E439" s="4" t="s">
        <v>5177</v>
      </c>
      <c r="F439" s="3" t="s">
        <v>5661</v>
      </c>
      <c r="G439" s="7" t="s">
        <v>5596</v>
      </c>
      <c r="H439" s="3" t="s">
        <v>6492</v>
      </c>
      <c r="I439" s="3" t="s">
        <v>6548</v>
      </c>
      <c r="J439" s="3" t="s">
        <v>5536</v>
      </c>
      <c r="K439" s="3" t="s">
        <v>5549</v>
      </c>
      <c r="L439" s="8" t="str">
        <f>HYPERLINK("http://slimages.macys.com/is/image/MCY/14540377 ")</f>
        <v xml:space="preserve">http://slimages.macys.com/is/image/MCY/14540377 </v>
      </c>
    </row>
    <row r="440" spans="1:12" ht="24.75" x14ac:dyDescent="0.25">
      <c r="A440" s="6" t="s">
        <v>5184</v>
      </c>
      <c r="B440" s="3" t="s">
        <v>5185</v>
      </c>
      <c r="C440" s="4">
        <v>1</v>
      </c>
      <c r="D440" s="5">
        <v>12.99</v>
      </c>
      <c r="E440" s="4" t="s">
        <v>5186</v>
      </c>
      <c r="F440" s="3" t="s">
        <v>5578</v>
      </c>
      <c r="G440" s="7" t="s">
        <v>5835</v>
      </c>
      <c r="H440" s="3" t="s">
        <v>5825</v>
      </c>
      <c r="I440" s="3" t="s">
        <v>5826</v>
      </c>
      <c r="J440" s="3" t="s">
        <v>5536</v>
      </c>
      <c r="K440" s="3" t="s">
        <v>6610</v>
      </c>
      <c r="L440" s="8" t="str">
        <f>HYPERLINK("http://slimages.macys.com/is/image/MCY/10469369 ")</f>
        <v xml:space="preserve">http://slimages.macys.com/is/image/MCY/10469369 </v>
      </c>
    </row>
    <row r="441" spans="1:12" ht="24.75" x14ac:dyDescent="0.25">
      <c r="A441" s="6" t="s">
        <v>6769</v>
      </c>
      <c r="B441" s="3" t="s">
        <v>6770</v>
      </c>
      <c r="C441" s="4">
        <v>1</v>
      </c>
      <c r="D441" s="5">
        <v>16.25</v>
      </c>
      <c r="E441" s="4" t="s">
        <v>6771</v>
      </c>
      <c r="F441" s="3" t="s">
        <v>5540</v>
      </c>
      <c r="G441" s="7" t="s">
        <v>6772</v>
      </c>
      <c r="H441" s="3" t="s">
        <v>5842</v>
      </c>
      <c r="I441" s="3" t="s">
        <v>6773</v>
      </c>
      <c r="J441" s="3" t="s">
        <v>5536</v>
      </c>
      <c r="K441" s="3" t="s">
        <v>6774</v>
      </c>
      <c r="L441" s="8" t="str">
        <f>HYPERLINK("http://slimages.macys.com/is/image/MCY/14536305 ")</f>
        <v xml:space="preserve">http://slimages.macys.com/is/image/MCY/14536305 </v>
      </c>
    </row>
    <row r="442" spans="1:12" ht="24.75" x14ac:dyDescent="0.25">
      <c r="A442" s="6" t="s">
        <v>6786</v>
      </c>
      <c r="B442" s="3" t="s">
        <v>6780</v>
      </c>
      <c r="C442" s="4">
        <v>1</v>
      </c>
      <c r="D442" s="5">
        <v>12.99</v>
      </c>
      <c r="E442" s="4" t="s">
        <v>6781</v>
      </c>
      <c r="F442" s="3" t="s">
        <v>5604</v>
      </c>
      <c r="G442" s="7" t="s">
        <v>5768</v>
      </c>
      <c r="H442" s="3" t="s">
        <v>5825</v>
      </c>
      <c r="I442" s="3" t="s">
        <v>5826</v>
      </c>
      <c r="J442" s="3" t="s">
        <v>5536</v>
      </c>
      <c r="K442" s="3" t="s">
        <v>6610</v>
      </c>
      <c r="L442" s="8" t="str">
        <f>HYPERLINK("http://slimages.macys.com/is/image/MCY/10470310 ")</f>
        <v xml:space="preserve">http://slimages.macys.com/is/image/MCY/10470310 </v>
      </c>
    </row>
    <row r="443" spans="1:12" ht="24.75" x14ac:dyDescent="0.25">
      <c r="A443" s="6" t="s">
        <v>5187</v>
      </c>
      <c r="B443" s="3" t="s">
        <v>6780</v>
      </c>
      <c r="C443" s="4">
        <v>1</v>
      </c>
      <c r="D443" s="5">
        <v>12.99</v>
      </c>
      <c r="E443" s="4" t="s">
        <v>6781</v>
      </c>
      <c r="F443" s="3" t="s">
        <v>5604</v>
      </c>
      <c r="G443" s="7" t="s">
        <v>5777</v>
      </c>
      <c r="H443" s="3" t="s">
        <v>5825</v>
      </c>
      <c r="I443" s="3" t="s">
        <v>5826</v>
      </c>
      <c r="J443" s="3" t="s">
        <v>5536</v>
      </c>
      <c r="K443" s="3" t="s">
        <v>6610</v>
      </c>
      <c r="L443" s="8" t="str">
        <f>HYPERLINK("http://slimages.macys.com/is/image/MCY/10470310 ")</f>
        <v xml:space="preserve">http://slimages.macys.com/is/image/MCY/10470310 </v>
      </c>
    </row>
    <row r="444" spans="1:12" ht="24.75" x14ac:dyDescent="0.25">
      <c r="A444" s="6" t="s">
        <v>5188</v>
      </c>
      <c r="B444" s="3" t="s">
        <v>6780</v>
      </c>
      <c r="C444" s="4">
        <v>1</v>
      </c>
      <c r="D444" s="5">
        <v>12.99</v>
      </c>
      <c r="E444" s="4" t="s">
        <v>6781</v>
      </c>
      <c r="F444" s="3" t="s">
        <v>5604</v>
      </c>
      <c r="G444" s="7" t="s">
        <v>5779</v>
      </c>
      <c r="H444" s="3" t="s">
        <v>5825</v>
      </c>
      <c r="I444" s="3" t="s">
        <v>5826</v>
      </c>
      <c r="J444" s="3" t="s">
        <v>5536</v>
      </c>
      <c r="K444" s="3" t="s">
        <v>6610</v>
      </c>
      <c r="L444" s="8" t="str">
        <f>HYPERLINK("http://slimages.macys.com/is/image/MCY/10470310 ")</f>
        <v xml:space="preserve">http://slimages.macys.com/is/image/MCY/10470310 </v>
      </c>
    </row>
    <row r="445" spans="1:12" ht="24.75" x14ac:dyDescent="0.25">
      <c r="A445" s="6" t="s">
        <v>5189</v>
      </c>
      <c r="B445" s="3" t="s">
        <v>6780</v>
      </c>
      <c r="C445" s="4">
        <v>1</v>
      </c>
      <c r="D445" s="5">
        <v>12.99</v>
      </c>
      <c r="E445" s="4" t="s">
        <v>6781</v>
      </c>
      <c r="F445" s="3" t="s">
        <v>5604</v>
      </c>
      <c r="G445" s="7" t="s">
        <v>5835</v>
      </c>
      <c r="H445" s="3" t="s">
        <v>5825</v>
      </c>
      <c r="I445" s="3" t="s">
        <v>5826</v>
      </c>
      <c r="J445" s="3" t="s">
        <v>5536</v>
      </c>
      <c r="K445" s="3" t="s">
        <v>6610</v>
      </c>
      <c r="L445" s="8" t="str">
        <f>HYPERLINK("http://slimages.macys.com/is/image/MCY/10470310 ")</f>
        <v xml:space="preserve">http://slimages.macys.com/is/image/MCY/10470310 </v>
      </c>
    </row>
    <row r="446" spans="1:12" ht="24.75" x14ac:dyDescent="0.25">
      <c r="A446" s="6" t="s">
        <v>6797</v>
      </c>
      <c r="B446" s="3" t="s">
        <v>6798</v>
      </c>
      <c r="C446" s="4">
        <v>1</v>
      </c>
      <c r="D446" s="5">
        <v>15</v>
      </c>
      <c r="E446" s="4" t="s">
        <v>6799</v>
      </c>
      <c r="F446" s="3" t="s">
        <v>5783</v>
      </c>
      <c r="G446" s="7" t="s">
        <v>6252</v>
      </c>
      <c r="H446" s="3" t="s">
        <v>5899</v>
      </c>
      <c r="I446" s="3" t="s">
        <v>6800</v>
      </c>
      <c r="J446" s="3" t="s">
        <v>5536</v>
      </c>
      <c r="K446" s="3" t="s">
        <v>6801</v>
      </c>
      <c r="L446" s="8" t="str">
        <f>HYPERLINK("http://slimages.macys.com/is/image/MCY/14723456 ")</f>
        <v xml:space="preserve">http://slimages.macys.com/is/image/MCY/14723456 </v>
      </c>
    </row>
    <row r="447" spans="1:12" ht="24.75" x14ac:dyDescent="0.25">
      <c r="A447" s="6" t="s">
        <v>5190</v>
      </c>
      <c r="B447" s="3" t="s">
        <v>6816</v>
      </c>
      <c r="C447" s="4">
        <v>2</v>
      </c>
      <c r="D447" s="5">
        <v>33.979999999999997</v>
      </c>
      <c r="E447" s="4" t="s">
        <v>6817</v>
      </c>
      <c r="F447" s="3" t="s">
        <v>5540</v>
      </c>
      <c r="G447" s="7" t="s">
        <v>6772</v>
      </c>
      <c r="H447" s="3" t="s">
        <v>5842</v>
      </c>
      <c r="I447" s="3" t="s">
        <v>6811</v>
      </c>
      <c r="J447" s="3" t="s">
        <v>5536</v>
      </c>
      <c r="K447" s="3" t="s">
        <v>6812</v>
      </c>
      <c r="L447" s="8" t="str">
        <f>HYPERLINK("http://slimages.macys.com/is/image/MCY/10454875 ")</f>
        <v xml:space="preserve">http://slimages.macys.com/is/image/MCY/10454875 </v>
      </c>
    </row>
    <row r="448" spans="1:12" ht="24.75" x14ac:dyDescent="0.25">
      <c r="A448" s="6" t="s">
        <v>6808</v>
      </c>
      <c r="B448" s="3" t="s">
        <v>6809</v>
      </c>
      <c r="C448" s="4">
        <v>1</v>
      </c>
      <c r="D448" s="5">
        <v>16.989999999999998</v>
      </c>
      <c r="E448" s="4" t="s">
        <v>6810</v>
      </c>
      <c r="F448" s="3" t="s">
        <v>5540</v>
      </c>
      <c r="G448" s="7" t="s">
        <v>6772</v>
      </c>
      <c r="H448" s="3" t="s">
        <v>5842</v>
      </c>
      <c r="I448" s="3" t="s">
        <v>6811</v>
      </c>
      <c r="J448" s="3" t="s">
        <v>5536</v>
      </c>
      <c r="K448" s="3" t="s">
        <v>6812</v>
      </c>
      <c r="L448" s="8" t="str">
        <f>HYPERLINK("http://slimages.macys.com/is/image/MCY/10454849 ")</f>
        <v xml:space="preserve">http://slimages.macys.com/is/image/MCY/10454849 </v>
      </c>
    </row>
    <row r="449" spans="1:12" ht="24.75" x14ac:dyDescent="0.25">
      <c r="A449" s="6" t="s">
        <v>5191</v>
      </c>
      <c r="B449" s="3" t="s">
        <v>5192</v>
      </c>
      <c r="C449" s="4">
        <v>1</v>
      </c>
      <c r="D449" s="5">
        <v>12.98</v>
      </c>
      <c r="E449" s="4" t="s">
        <v>5193</v>
      </c>
      <c r="F449" s="3" t="s">
        <v>5783</v>
      </c>
      <c r="G449" s="7" t="s">
        <v>5562</v>
      </c>
      <c r="H449" s="3" t="s">
        <v>6019</v>
      </c>
      <c r="I449" s="3" t="s">
        <v>6835</v>
      </c>
      <c r="J449" s="3" t="s">
        <v>5536</v>
      </c>
      <c r="K449" s="3" t="s">
        <v>5574</v>
      </c>
      <c r="L449" s="8" t="str">
        <f>HYPERLINK("http://slimages.macys.com/is/image/MCY/15626512 ")</f>
        <v xml:space="preserve">http://slimages.macys.com/is/image/MCY/15626512 </v>
      </c>
    </row>
    <row r="450" spans="1:12" ht="24.75" x14ac:dyDescent="0.25">
      <c r="A450" s="6" t="s">
        <v>4466</v>
      </c>
      <c r="B450" s="3" t="s">
        <v>6852</v>
      </c>
      <c r="C450" s="4">
        <v>1</v>
      </c>
      <c r="D450" s="5">
        <v>13.99</v>
      </c>
      <c r="E450" s="4" t="s">
        <v>6853</v>
      </c>
      <c r="F450" s="3" t="s">
        <v>5783</v>
      </c>
      <c r="G450" s="7" t="s">
        <v>5999</v>
      </c>
      <c r="H450" s="3" t="s">
        <v>5794</v>
      </c>
      <c r="I450" s="3" t="s">
        <v>6849</v>
      </c>
      <c r="J450" s="3" t="s">
        <v>5536</v>
      </c>
      <c r="K450" s="3" t="s">
        <v>6850</v>
      </c>
      <c r="L450" s="8" t="str">
        <f>HYPERLINK("http://slimages.macys.com/is/image/MCY/14840691 ")</f>
        <v xml:space="preserve">http://slimages.macys.com/is/image/MCY/14840691 </v>
      </c>
    </row>
    <row r="451" spans="1:12" ht="24.75" x14ac:dyDescent="0.25">
      <c r="A451" s="6" t="s">
        <v>6851</v>
      </c>
      <c r="B451" s="3" t="s">
        <v>6852</v>
      </c>
      <c r="C451" s="4">
        <v>1</v>
      </c>
      <c r="D451" s="5">
        <v>13.99</v>
      </c>
      <c r="E451" s="4" t="s">
        <v>6853</v>
      </c>
      <c r="F451" s="3" t="s">
        <v>5783</v>
      </c>
      <c r="G451" s="7" t="s">
        <v>6848</v>
      </c>
      <c r="H451" s="3" t="s">
        <v>5794</v>
      </c>
      <c r="I451" s="3" t="s">
        <v>6849</v>
      </c>
      <c r="J451" s="3" t="s">
        <v>5536</v>
      </c>
      <c r="K451" s="3" t="s">
        <v>6850</v>
      </c>
      <c r="L451" s="8" t="str">
        <f>HYPERLINK("http://slimages.macys.com/is/image/MCY/14840691 ")</f>
        <v xml:space="preserve">http://slimages.macys.com/is/image/MCY/14840691 </v>
      </c>
    </row>
    <row r="452" spans="1:12" ht="24.75" x14ac:dyDescent="0.25">
      <c r="A452" s="6" t="s">
        <v>5194</v>
      </c>
      <c r="B452" s="3" t="s">
        <v>5195</v>
      </c>
      <c r="C452" s="4">
        <v>2</v>
      </c>
      <c r="D452" s="5">
        <v>22</v>
      </c>
      <c r="E452" s="4" t="s">
        <v>5196</v>
      </c>
      <c r="F452" s="3" t="s">
        <v>5540</v>
      </c>
      <c r="G452" s="7" t="s">
        <v>5898</v>
      </c>
      <c r="H452" s="3" t="s">
        <v>6515</v>
      </c>
      <c r="I452" s="3" t="s">
        <v>6066</v>
      </c>
      <c r="J452" s="3" t="s">
        <v>5536</v>
      </c>
      <c r="K452" s="3" t="s">
        <v>6642</v>
      </c>
      <c r="L452" s="8" t="str">
        <f>HYPERLINK("http://slimages.macys.com/is/image/MCY/14574321 ")</f>
        <v xml:space="preserve">http://slimages.macys.com/is/image/MCY/14574321 </v>
      </c>
    </row>
    <row r="453" spans="1:12" ht="24.75" x14ac:dyDescent="0.25">
      <c r="A453" s="6" t="s">
        <v>6901</v>
      </c>
      <c r="B453" s="3" t="s">
        <v>6902</v>
      </c>
      <c r="C453" s="4">
        <v>1</v>
      </c>
      <c r="D453" s="5">
        <v>14</v>
      </c>
      <c r="E453" s="4" t="s">
        <v>6903</v>
      </c>
      <c r="F453" s="3" t="s">
        <v>5803</v>
      </c>
      <c r="G453" s="7" t="s">
        <v>5898</v>
      </c>
      <c r="H453" s="3" t="s">
        <v>6515</v>
      </c>
      <c r="I453" s="3" t="s">
        <v>6066</v>
      </c>
      <c r="J453" s="3" t="s">
        <v>5536</v>
      </c>
      <c r="K453" s="3" t="s">
        <v>5984</v>
      </c>
      <c r="L453" s="8" t="str">
        <f>HYPERLINK("http://slimages.macys.com/is/image/MCY/8853222 ")</f>
        <v xml:space="preserve">http://slimages.macys.com/is/image/MCY/8853222 </v>
      </c>
    </row>
    <row r="454" spans="1:12" ht="24.75" x14ac:dyDescent="0.25">
      <c r="A454" s="6" t="s">
        <v>5197</v>
      </c>
      <c r="B454" s="3" t="s">
        <v>5198</v>
      </c>
      <c r="C454" s="4">
        <v>4</v>
      </c>
      <c r="D454" s="5">
        <v>56</v>
      </c>
      <c r="E454" s="4" t="s">
        <v>5199</v>
      </c>
      <c r="F454" s="3" t="s">
        <v>5540</v>
      </c>
      <c r="G454" s="7" t="s">
        <v>5898</v>
      </c>
      <c r="H454" s="3" t="s">
        <v>6515</v>
      </c>
      <c r="I454" s="3" t="s">
        <v>6066</v>
      </c>
      <c r="J454" s="3" t="s">
        <v>5536</v>
      </c>
      <c r="K454" s="3" t="s">
        <v>5984</v>
      </c>
      <c r="L454" s="8" t="str">
        <f>HYPERLINK("http://slimages.macys.com/is/image/MCY/14574354 ")</f>
        <v xml:space="preserve">http://slimages.macys.com/is/image/MCY/14574354 </v>
      </c>
    </row>
    <row r="455" spans="1:12" ht="24.75" x14ac:dyDescent="0.25">
      <c r="A455" s="6" t="s">
        <v>5200</v>
      </c>
      <c r="B455" s="3" t="s">
        <v>6902</v>
      </c>
      <c r="C455" s="4">
        <v>10</v>
      </c>
      <c r="D455" s="5">
        <v>140</v>
      </c>
      <c r="E455" s="4" t="s">
        <v>6903</v>
      </c>
      <c r="F455" s="3" t="s">
        <v>5540</v>
      </c>
      <c r="G455" s="7" t="s">
        <v>5898</v>
      </c>
      <c r="H455" s="3" t="s">
        <v>6515</v>
      </c>
      <c r="I455" s="3" t="s">
        <v>6066</v>
      </c>
      <c r="J455" s="3" t="s">
        <v>5536</v>
      </c>
      <c r="K455" s="3" t="s">
        <v>5984</v>
      </c>
      <c r="L455" s="8" t="str">
        <f>HYPERLINK("http://slimages.macys.com/is/image/MCY/8853222 ")</f>
        <v xml:space="preserve">http://slimages.macys.com/is/image/MCY/8853222 </v>
      </c>
    </row>
    <row r="456" spans="1:12" ht="24.75" x14ac:dyDescent="0.25">
      <c r="A456" s="6" t="s">
        <v>5201</v>
      </c>
      <c r="B456" s="3" t="s">
        <v>5198</v>
      </c>
      <c r="C456" s="4">
        <v>1</v>
      </c>
      <c r="D456" s="5">
        <v>14</v>
      </c>
      <c r="E456" s="4" t="s">
        <v>5199</v>
      </c>
      <c r="F456" s="3" t="s">
        <v>5532</v>
      </c>
      <c r="G456" s="7" t="s">
        <v>5898</v>
      </c>
      <c r="H456" s="3" t="s">
        <v>6515</v>
      </c>
      <c r="I456" s="3" t="s">
        <v>6066</v>
      </c>
      <c r="J456" s="3" t="s">
        <v>5536</v>
      </c>
      <c r="K456" s="3" t="s">
        <v>5984</v>
      </c>
      <c r="L456" s="8" t="str">
        <f>HYPERLINK("http://slimages.macys.com/is/image/MCY/14574354 ")</f>
        <v xml:space="preserve">http://slimages.macys.com/is/image/MCY/14574354 </v>
      </c>
    </row>
    <row r="457" spans="1:12" ht="24.75" x14ac:dyDescent="0.25">
      <c r="A457" s="6" t="s">
        <v>5202</v>
      </c>
      <c r="B457" s="3" t="s">
        <v>5203</v>
      </c>
      <c r="C457" s="4">
        <v>1</v>
      </c>
      <c r="D457" s="5">
        <v>11</v>
      </c>
      <c r="E457" s="4" t="s">
        <v>5204</v>
      </c>
      <c r="F457" s="3" t="s">
        <v>5540</v>
      </c>
      <c r="G457" s="7" t="s">
        <v>5898</v>
      </c>
      <c r="H457" s="3" t="s">
        <v>6515</v>
      </c>
      <c r="I457" s="3" t="s">
        <v>6066</v>
      </c>
      <c r="J457" s="3" t="s">
        <v>5536</v>
      </c>
      <c r="K457" s="3" t="s">
        <v>5984</v>
      </c>
      <c r="L457" s="8" t="str">
        <f>HYPERLINK("http://slimages.macys.com/is/image/MCY/14574876 ")</f>
        <v xml:space="preserve">http://slimages.macys.com/is/image/MCY/14574876 </v>
      </c>
    </row>
    <row r="458" spans="1:12" ht="36.75" x14ac:dyDescent="0.25">
      <c r="A458" s="6" t="s">
        <v>6912</v>
      </c>
      <c r="B458" s="3" t="s">
        <v>6913</v>
      </c>
      <c r="C458" s="4">
        <v>6</v>
      </c>
      <c r="D458" s="5">
        <v>59.94</v>
      </c>
      <c r="E458" s="4" t="s">
        <v>6914</v>
      </c>
      <c r="F458" s="3" t="s">
        <v>5977</v>
      </c>
      <c r="G458" s="7" t="s">
        <v>5533</v>
      </c>
      <c r="H458" s="3" t="s">
        <v>6430</v>
      </c>
      <c r="I458" s="3" t="s">
        <v>6431</v>
      </c>
      <c r="J458" s="3" t="s">
        <v>5536</v>
      </c>
      <c r="K458" s="3" t="s">
        <v>5574</v>
      </c>
      <c r="L458" s="8" t="str">
        <f>HYPERLINK("http://slimages.macys.com/is/image/MCY/15550079 ")</f>
        <v xml:space="preserve">http://slimages.macys.com/is/image/MCY/15550079 </v>
      </c>
    </row>
    <row r="459" spans="1:12" ht="36.75" x14ac:dyDescent="0.25">
      <c r="A459" s="6" t="s">
        <v>6918</v>
      </c>
      <c r="B459" s="3" t="s">
        <v>6913</v>
      </c>
      <c r="C459" s="4">
        <v>3</v>
      </c>
      <c r="D459" s="5">
        <v>29.97</v>
      </c>
      <c r="E459" s="4" t="s">
        <v>6914</v>
      </c>
      <c r="F459" s="3" t="s">
        <v>5540</v>
      </c>
      <c r="G459" s="7" t="s">
        <v>5596</v>
      </c>
      <c r="H459" s="3" t="s">
        <v>6430</v>
      </c>
      <c r="I459" s="3" t="s">
        <v>6431</v>
      </c>
      <c r="J459" s="3" t="s">
        <v>5536</v>
      </c>
      <c r="K459" s="3" t="s">
        <v>5574</v>
      </c>
      <c r="L459" s="8" t="str">
        <f>HYPERLINK("http://slimages.macys.com/is/image/MCY/15550079 ")</f>
        <v xml:space="preserve">http://slimages.macys.com/is/image/MCY/15550079 </v>
      </c>
    </row>
    <row r="460" spans="1:12" ht="36.75" x14ac:dyDescent="0.25">
      <c r="A460" s="6" t="s">
        <v>6933</v>
      </c>
      <c r="B460" s="3" t="s">
        <v>6913</v>
      </c>
      <c r="C460" s="4">
        <v>2</v>
      </c>
      <c r="D460" s="5">
        <v>19.98</v>
      </c>
      <c r="E460" s="4" t="s">
        <v>6914</v>
      </c>
      <c r="F460" s="3" t="s">
        <v>5977</v>
      </c>
      <c r="G460" s="7" t="s">
        <v>5560</v>
      </c>
      <c r="H460" s="3" t="s">
        <v>6430</v>
      </c>
      <c r="I460" s="3" t="s">
        <v>6431</v>
      </c>
      <c r="J460" s="3" t="s">
        <v>5536</v>
      </c>
      <c r="K460" s="3" t="s">
        <v>5574</v>
      </c>
      <c r="L460" s="8" t="str">
        <f>HYPERLINK("http://slimages.macys.com/is/image/MCY/15550079 ")</f>
        <v xml:space="preserve">http://slimages.macys.com/is/image/MCY/15550079 </v>
      </c>
    </row>
    <row r="461" spans="1:12" ht="36.75" x14ac:dyDescent="0.25">
      <c r="A461" s="6" t="s">
        <v>6915</v>
      </c>
      <c r="B461" s="3" t="s">
        <v>6916</v>
      </c>
      <c r="C461" s="4">
        <v>1</v>
      </c>
      <c r="D461" s="5">
        <v>9.99</v>
      </c>
      <c r="E461" s="4" t="s">
        <v>6917</v>
      </c>
      <c r="F461" s="3" t="s">
        <v>5977</v>
      </c>
      <c r="G461" s="7" t="s">
        <v>5560</v>
      </c>
      <c r="H461" s="3" t="s">
        <v>6430</v>
      </c>
      <c r="I461" s="3" t="s">
        <v>6431</v>
      </c>
      <c r="J461" s="3" t="s">
        <v>5536</v>
      </c>
      <c r="K461" s="3" t="s">
        <v>5574</v>
      </c>
      <c r="L461" s="8" t="str">
        <f>HYPERLINK("http://slimages.macys.com/is/image/MCY/15509348 ")</f>
        <v xml:space="preserve">http://slimages.macys.com/is/image/MCY/15509348 </v>
      </c>
    </row>
    <row r="462" spans="1:12" ht="36.75" x14ac:dyDescent="0.25">
      <c r="A462" s="6" t="s">
        <v>6919</v>
      </c>
      <c r="B462" s="3" t="s">
        <v>6913</v>
      </c>
      <c r="C462" s="4">
        <v>5</v>
      </c>
      <c r="D462" s="5">
        <v>49.95</v>
      </c>
      <c r="E462" s="4" t="s">
        <v>6914</v>
      </c>
      <c r="F462" s="3" t="s">
        <v>5540</v>
      </c>
      <c r="G462" s="7" t="s">
        <v>5533</v>
      </c>
      <c r="H462" s="3" t="s">
        <v>6430</v>
      </c>
      <c r="I462" s="3" t="s">
        <v>6431</v>
      </c>
      <c r="J462" s="3" t="s">
        <v>5536</v>
      </c>
      <c r="K462" s="3" t="s">
        <v>5574</v>
      </c>
      <c r="L462" s="8" t="str">
        <f>HYPERLINK("http://slimages.macys.com/is/image/MCY/15550079 ")</f>
        <v xml:space="preserve">http://slimages.macys.com/is/image/MCY/15550079 </v>
      </c>
    </row>
    <row r="463" spans="1:12" ht="36.75" x14ac:dyDescent="0.25">
      <c r="A463" s="6" t="s">
        <v>6930</v>
      </c>
      <c r="B463" s="3" t="s">
        <v>6913</v>
      </c>
      <c r="C463" s="4">
        <v>1</v>
      </c>
      <c r="D463" s="5">
        <v>9.99</v>
      </c>
      <c r="E463" s="4" t="s">
        <v>6914</v>
      </c>
      <c r="F463" s="3" t="s">
        <v>5977</v>
      </c>
      <c r="G463" s="7" t="s">
        <v>5562</v>
      </c>
      <c r="H463" s="3" t="s">
        <v>6430</v>
      </c>
      <c r="I463" s="3" t="s">
        <v>6431</v>
      </c>
      <c r="J463" s="3" t="s">
        <v>5536</v>
      </c>
      <c r="K463" s="3" t="s">
        <v>5574</v>
      </c>
      <c r="L463" s="8" t="str">
        <f>HYPERLINK("http://slimages.macys.com/is/image/MCY/15550079 ")</f>
        <v xml:space="preserve">http://slimages.macys.com/is/image/MCY/15550079 </v>
      </c>
    </row>
    <row r="464" spans="1:12" ht="36.75" x14ac:dyDescent="0.25">
      <c r="A464" s="6" t="s">
        <v>6926</v>
      </c>
      <c r="B464" s="3" t="s">
        <v>6913</v>
      </c>
      <c r="C464" s="4">
        <v>2</v>
      </c>
      <c r="D464" s="5">
        <v>19.98</v>
      </c>
      <c r="E464" s="4" t="s">
        <v>6914</v>
      </c>
      <c r="F464" s="3" t="s">
        <v>5540</v>
      </c>
      <c r="G464" s="7" t="s">
        <v>5560</v>
      </c>
      <c r="H464" s="3" t="s">
        <v>6430</v>
      </c>
      <c r="I464" s="3" t="s">
        <v>6431</v>
      </c>
      <c r="J464" s="3" t="s">
        <v>5536</v>
      </c>
      <c r="K464" s="3" t="s">
        <v>5574</v>
      </c>
      <c r="L464" s="8" t="str">
        <f>HYPERLINK("http://slimages.macys.com/is/image/MCY/15550079 ")</f>
        <v xml:space="preserve">http://slimages.macys.com/is/image/MCY/15550079 </v>
      </c>
    </row>
    <row r="465" spans="1:12" ht="36.75" x14ac:dyDescent="0.25">
      <c r="A465" s="6" t="s">
        <v>5205</v>
      </c>
      <c r="B465" s="3" t="s">
        <v>6916</v>
      </c>
      <c r="C465" s="4">
        <v>1</v>
      </c>
      <c r="D465" s="5">
        <v>9.99</v>
      </c>
      <c r="E465" s="4" t="s">
        <v>6917</v>
      </c>
      <c r="F465" s="3" t="s">
        <v>5540</v>
      </c>
      <c r="G465" s="7" t="s">
        <v>5598</v>
      </c>
      <c r="H465" s="3" t="s">
        <v>6430</v>
      </c>
      <c r="I465" s="3" t="s">
        <v>6431</v>
      </c>
      <c r="J465" s="3" t="s">
        <v>5536</v>
      </c>
      <c r="K465" s="3" t="s">
        <v>5574</v>
      </c>
      <c r="L465" s="8" t="str">
        <f>HYPERLINK("http://slimages.macys.com/is/image/MCY/15509348 ")</f>
        <v xml:space="preserve">http://slimages.macys.com/is/image/MCY/15509348 </v>
      </c>
    </row>
    <row r="466" spans="1:12" ht="36.75" x14ac:dyDescent="0.25">
      <c r="A466" s="6" t="s">
        <v>6934</v>
      </c>
      <c r="B466" s="3" t="s">
        <v>6913</v>
      </c>
      <c r="C466" s="4">
        <v>5</v>
      </c>
      <c r="D466" s="5">
        <v>49.95</v>
      </c>
      <c r="E466" s="4" t="s">
        <v>6914</v>
      </c>
      <c r="F466" s="3" t="s">
        <v>5977</v>
      </c>
      <c r="G466" s="7" t="s">
        <v>5596</v>
      </c>
      <c r="H466" s="3" t="s">
        <v>6430</v>
      </c>
      <c r="I466" s="3" t="s">
        <v>6431</v>
      </c>
      <c r="J466" s="3" t="s">
        <v>5536</v>
      </c>
      <c r="K466" s="3" t="s">
        <v>5574</v>
      </c>
      <c r="L466" s="8" t="str">
        <f>HYPERLINK("http://slimages.macys.com/is/image/MCY/15550079 ")</f>
        <v xml:space="preserve">http://slimages.macys.com/is/image/MCY/15550079 </v>
      </c>
    </row>
    <row r="467" spans="1:12" ht="24.75" x14ac:dyDescent="0.25">
      <c r="A467" s="6" t="s">
        <v>5206</v>
      </c>
      <c r="B467" s="3" t="s">
        <v>6936</v>
      </c>
      <c r="C467" s="4">
        <v>5</v>
      </c>
      <c r="D467" s="5">
        <v>55</v>
      </c>
      <c r="E467" s="4" t="s">
        <v>6937</v>
      </c>
      <c r="F467" s="3" t="s">
        <v>5540</v>
      </c>
      <c r="G467" s="7" t="s">
        <v>5898</v>
      </c>
      <c r="H467" s="3" t="s">
        <v>6515</v>
      </c>
      <c r="I467" s="3" t="s">
        <v>6066</v>
      </c>
      <c r="J467" s="3" t="s">
        <v>5536</v>
      </c>
      <c r="K467" s="3" t="s">
        <v>5984</v>
      </c>
      <c r="L467" s="8" t="str">
        <f>HYPERLINK("http://slimages.macys.com/is/image/MCY/14574814 ")</f>
        <v xml:space="preserve">http://slimages.macys.com/is/image/MCY/14574814 </v>
      </c>
    </row>
    <row r="468" spans="1:12" ht="24.75" x14ac:dyDescent="0.25">
      <c r="A468" s="6" t="s">
        <v>6935</v>
      </c>
      <c r="B468" s="3" t="s">
        <v>6936</v>
      </c>
      <c r="C468" s="4">
        <v>1</v>
      </c>
      <c r="D468" s="5">
        <v>11</v>
      </c>
      <c r="E468" s="4" t="s">
        <v>6937</v>
      </c>
      <c r="F468" s="3" t="s">
        <v>5803</v>
      </c>
      <c r="G468" s="7" t="s">
        <v>5898</v>
      </c>
      <c r="H468" s="3" t="s">
        <v>6515</v>
      </c>
      <c r="I468" s="3" t="s">
        <v>6066</v>
      </c>
      <c r="J468" s="3" t="s">
        <v>5536</v>
      </c>
      <c r="K468" s="3" t="s">
        <v>5984</v>
      </c>
      <c r="L468" s="8" t="str">
        <f>HYPERLINK("http://slimages.macys.com/is/image/MCY/14574814 ")</f>
        <v xml:space="preserve">http://slimages.macys.com/is/image/MCY/14574814 </v>
      </c>
    </row>
    <row r="469" spans="1:12" ht="24.75" x14ac:dyDescent="0.25">
      <c r="A469" s="6" t="s">
        <v>5207</v>
      </c>
      <c r="B469" s="3" t="s">
        <v>6936</v>
      </c>
      <c r="C469" s="4">
        <v>1</v>
      </c>
      <c r="D469" s="5">
        <v>11</v>
      </c>
      <c r="E469" s="4" t="s">
        <v>6937</v>
      </c>
      <c r="F469" s="3" t="s">
        <v>5532</v>
      </c>
      <c r="G469" s="7" t="s">
        <v>5898</v>
      </c>
      <c r="H469" s="3" t="s">
        <v>6515</v>
      </c>
      <c r="I469" s="3" t="s">
        <v>6066</v>
      </c>
      <c r="J469" s="3" t="s">
        <v>5536</v>
      </c>
      <c r="K469" s="3" t="s">
        <v>5984</v>
      </c>
      <c r="L469" s="8" t="str">
        <f>HYPERLINK("http://slimages.macys.com/is/image/MCY/14574814 ")</f>
        <v xml:space="preserve">http://slimages.macys.com/is/image/MCY/14574814 </v>
      </c>
    </row>
    <row r="470" spans="1:12" ht="24.75" x14ac:dyDescent="0.25">
      <c r="A470" s="6" t="s">
        <v>6938</v>
      </c>
      <c r="B470" s="3" t="s">
        <v>6939</v>
      </c>
      <c r="C470" s="4">
        <v>12</v>
      </c>
      <c r="D470" s="5">
        <v>132</v>
      </c>
      <c r="E470" s="4" t="s">
        <v>6940</v>
      </c>
      <c r="F470" s="3" t="s">
        <v>5803</v>
      </c>
      <c r="G470" s="7" t="s">
        <v>5898</v>
      </c>
      <c r="H470" s="3" t="s">
        <v>6515</v>
      </c>
      <c r="I470" s="3" t="s">
        <v>6066</v>
      </c>
      <c r="J470" s="3" t="s">
        <v>5536</v>
      </c>
      <c r="K470" s="3" t="s">
        <v>6941</v>
      </c>
      <c r="L470" s="8" t="str">
        <f>HYPERLINK("http://slimages.macys.com/is/image/MCY/8853210 ")</f>
        <v xml:space="preserve">http://slimages.macys.com/is/image/MCY/8853210 </v>
      </c>
    </row>
    <row r="471" spans="1:12" ht="24.75" x14ac:dyDescent="0.25">
      <c r="A471" s="6" t="s">
        <v>6942</v>
      </c>
      <c r="B471" s="3" t="s">
        <v>6939</v>
      </c>
      <c r="C471" s="4">
        <v>21</v>
      </c>
      <c r="D471" s="5">
        <v>231</v>
      </c>
      <c r="E471" s="4" t="s">
        <v>6940</v>
      </c>
      <c r="F471" s="3" t="s">
        <v>5540</v>
      </c>
      <c r="G471" s="7" t="s">
        <v>5898</v>
      </c>
      <c r="H471" s="3" t="s">
        <v>6515</v>
      </c>
      <c r="I471" s="3" t="s">
        <v>6066</v>
      </c>
      <c r="J471" s="3" t="s">
        <v>5536</v>
      </c>
      <c r="K471" s="3" t="s">
        <v>6941</v>
      </c>
      <c r="L471" s="8" t="str">
        <f>HYPERLINK("http://slimages.macys.com/is/image/MCY/8853210 ")</f>
        <v xml:space="preserve">http://slimages.macys.com/is/image/MCY/8853210 </v>
      </c>
    </row>
    <row r="472" spans="1:12" ht="24.75" x14ac:dyDescent="0.25">
      <c r="A472" s="6" t="s">
        <v>5208</v>
      </c>
      <c r="B472" s="3" t="s">
        <v>5209</v>
      </c>
      <c r="C472" s="4">
        <v>1</v>
      </c>
      <c r="D472" s="5">
        <v>5</v>
      </c>
      <c r="E472" s="4" t="s">
        <v>5210</v>
      </c>
      <c r="F472" s="3" t="s">
        <v>5540</v>
      </c>
      <c r="G472" s="7" t="s">
        <v>5898</v>
      </c>
      <c r="H472" s="3" t="s">
        <v>6632</v>
      </c>
      <c r="I472" s="3" t="s">
        <v>6969</v>
      </c>
      <c r="J472" s="3" t="s">
        <v>5536</v>
      </c>
      <c r="K472" s="3" t="s">
        <v>6970</v>
      </c>
      <c r="L472" s="8" t="str">
        <f>HYPERLINK("http://slimages.macys.com/is/image/MCY/14346348 ")</f>
        <v xml:space="preserve">http://slimages.macys.com/is/image/MCY/14346348 </v>
      </c>
    </row>
    <row r="473" spans="1:12" ht="24.75" x14ac:dyDescent="0.25">
      <c r="A473" s="6" t="s">
        <v>5211</v>
      </c>
      <c r="B473" s="3" t="s">
        <v>5212</v>
      </c>
      <c r="C473" s="4">
        <v>1</v>
      </c>
      <c r="D473" s="5">
        <v>46</v>
      </c>
      <c r="E473" s="4" t="s">
        <v>5213</v>
      </c>
      <c r="F473" s="3" t="s">
        <v>5977</v>
      </c>
      <c r="G473" s="7" t="s">
        <v>6626</v>
      </c>
      <c r="H473" s="3" t="s">
        <v>6492</v>
      </c>
      <c r="I473" s="3" t="s">
        <v>5214</v>
      </c>
      <c r="J473" s="3"/>
      <c r="K473" s="3"/>
      <c r="L473" s="8"/>
    </row>
    <row r="474" spans="1:12" ht="24.75" x14ac:dyDescent="0.25">
      <c r="A474" s="6" t="s">
        <v>5215</v>
      </c>
      <c r="B474" s="3" t="s">
        <v>5216</v>
      </c>
      <c r="C474" s="4">
        <v>1</v>
      </c>
      <c r="D474" s="5">
        <v>25</v>
      </c>
      <c r="E474" s="4" t="s">
        <v>5217</v>
      </c>
      <c r="F474" s="3" t="s">
        <v>5540</v>
      </c>
      <c r="G474" s="7"/>
      <c r="H474" s="3" t="s">
        <v>5825</v>
      </c>
      <c r="I474" s="3" t="s">
        <v>6265</v>
      </c>
      <c r="J474" s="3"/>
      <c r="K474" s="3"/>
      <c r="L474" s="8"/>
    </row>
    <row r="475" spans="1:12" ht="24.75" x14ac:dyDescent="0.25">
      <c r="A475" s="6" t="s">
        <v>5218</v>
      </c>
      <c r="B475" s="3" t="s">
        <v>5219</v>
      </c>
      <c r="C475" s="4">
        <v>1</v>
      </c>
      <c r="D475" s="5">
        <v>27.99</v>
      </c>
      <c r="E475" s="4" t="s">
        <v>5220</v>
      </c>
      <c r="F475" s="3" t="s">
        <v>5815</v>
      </c>
      <c r="G475" s="7"/>
      <c r="H475" s="3" t="s">
        <v>6280</v>
      </c>
      <c r="I475" s="3" t="s">
        <v>4889</v>
      </c>
      <c r="J475" s="3"/>
      <c r="K475" s="3"/>
      <c r="L475" s="8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476"/>
  <sheetViews>
    <sheetView workbookViewId="0">
      <selection activeCell="E18" sqref="E18"/>
    </sheetView>
  </sheetViews>
  <sheetFormatPr defaultRowHeight="15" x14ac:dyDescent="0.25"/>
  <cols>
    <col min="1" max="1" width="14.28515625" customWidth="1"/>
    <col min="2" max="2" width="25.140625" customWidth="1"/>
    <col min="3" max="3" width="15" customWidth="1"/>
    <col min="4" max="4" width="10.28515625" customWidth="1"/>
    <col min="5" max="5" width="14.285156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60.75" x14ac:dyDescent="0.25">
      <c r="A2" s="6" t="s">
        <v>5221</v>
      </c>
      <c r="B2" s="3" t="s">
        <v>5222</v>
      </c>
      <c r="C2" s="4">
        <v>1</v>
      </c>
      <c r="D2" s="5">
        <v>445</v>
      </c>
      <c r="E2" s="4">
        <v>5042016002800</v>
      </c>
      <c r="F2" s="3" t="s">
        <v>5820</v>
      </c>
      <c r="G2" s="7" t="s">
        <v>4632</v>
      </c>
      <c r="H2" s="3" t="s">
        <v>5223</v>
      </c>
      <c r="I2" s="3" t="s">
        <v>5224</v>
      </c>
      <c r="J2" s="3" t="s">
        <v>5536</v>
      </c>
      <c r="K2" s="3" t="s">
        <v>5225</v>
      </c>
      <c r="L2" s="8" t="str">
        <f>HYPERLINK("http://slimages.macys.com/is/image/MCY/14704609 ")</f>
        <v xml:space="preserve">http://slimages.macys.com/is/image/MCY/14704609 </v>
      </c>
    </row>
    <row r="3" spans="1:12" ht="24.75" x14ac:dyDescent="0.25">
      <c r="A3" s="6" t="s">
        <v>5226</v>
      </c>
      <c r="B3" s="3" t="s">
        <v>5227</v>
      </c>
      <c r="C3" s="4">
        <v>1</v>
      </c>
      <c r="D3" s="5">
        <v>265</v>
      </c>
      <c r="E3" s="4" t="s">
        <v>5228</v>
      </c>
      <c r="F3" s="3" t="s">
        <v>5783</v>
      </c>
      <c r="G3" s="7" t="s">
        <v>4568</v>
      </c>
      <c r="H3" s="3" t="s">
        <v>7059</v>
      </c>
      <c r="I3" s="3" t="s">
        <v>5934</v>
      </c>
      <c r="J3" s="3" t="s">
        <v>5536</v>
      </c>
      <c r="K3" s="3" t="s">
        <v>5229</v>
      </c>
      <c r="L3" s="8" t="str">
        <f>HYPERLINK("http://slimages.macys.com/is/image/MCY/11443163 ")</f>
        <v xml:space="preserve">http://slimages.macys.com/is/image/MCY/11443163 </v>
      </c>
    </row>
    <row r="4" spans="1:12" ht="48.75" x14ac:dyDescent="0.25">
      <c r="A4" s="6" t="s">
        <v>5230</v>
      </c>
      <c r="B4" s="3" t="s">
        <v>5231</v>
      </c>
      <c r="C4" s="4">
        <v>1</v>
      </c>
      <c r="D4" s="5">
        <v>210</v>
      </c>
      <c r="E4" s="4" t="s">
        <v>5232</v>
      </c>
      <c r="F4" s="3" t="s">
        <v>5820</v>
      </c>
      <c r="G4" s="7" t="s">
        <v>5233</v>
      </c>
      <c r="H4" s="3" t="s">
        <v>7099</v>
      </c>
      <c r="I4" s="3" t="s">
        <v>5934</v>
      </c>
      <c r="J4" s="3" t="s">
        <v>5536</v>
      </c>
      <c r="K4" s="3" t="s">
        <v>4564</v>
      </c>
      <c r="L4" s="8" t="str">
        <f>HYPERLINK("http://slimages.macys.com/is/image/MCY/13914102 ")</f>
        <v xml:space="preserve">http://slimages.macys.com/is/image/MCY/13914102 </v>
      </c>
    </row>
    <row r="5" spans="1:12" ht="60.75" x14ac:dyDescent="0.25">
      <c r="A5" s="6" t="s">
        <v>5234</v>
      </c>
      <c r="B5" s="3" t="s">
        <v>5235</v>
      </c>
      <c r="C5" s="4">
        <v>1</v>
      </c>
      <c r="D5" s="5">
        <v>180</v>
      </c>
      <c r="E5" s="4" t="s">
        <v>5236</v>
      </c>
      <c r="F5" s="3" t="s">
        <v>6496</v>
      </c>
      <c r="G5" s="7" t="s">
        <v>5237</v>
      </c>
      <c r="H5" s="3" t="s">
        <v>7099</v>
      </c>
      <c r="I5" s="3" t="s">
        <v>5238</v>
      </c>
      <c r="J5" s="3" t="s">
        <v>5536</v>
      </c>
      <c r="K5" s="3" t="s">
        <v>5239</v>
      </c>
      <c r="L5" s="8" t="str">
        <f>HYPERLINK("http://slimages.macys.com/is/image/MCY/14821944 ")</f>
        <v xml:space="preserve">http://slimages.macys.com/is/image/MCY/14821944 </v>
      </c>
    </row>
    <row r="6" spans="1:12" ht="36.75" x14ac:dyDescent="0.25">
      <c r="A6" s="6" t="s">
        <v>5240</v>
      </c>
      <c r="B6" s="3" t="s">
        <v>5241</v>
      </c>
      <c r="C6" s="4">
        <v>1</v>
      </c>
      <c r="D6" s="5">
        <v>165</v>
      </c>
      <c r="E6" s="4" t="s">
        <v>5242</v>
      </c>
      <c r="F6" s="3" t="s">
        <v>5625</v>
      </c>
      <c r="G6" s="7" t="s">
        <v>7058</v>
      </c>
      <c r="H6" s="3" t="s">
        <v>4611</v>
      </c>
      <c r="I6" s="3" t="s">
        <v>4612</v>
      </c>
      <c r="J6" s="3" t="s">
        <v>5536</v>
      </c>
      <c r="K6" s="3" t="s">
        <v>7038</v>
      </c>
      <c r="L6" s="8" t="str">
        <f>HYPERLINK("http://slimages.macys.com/is/image/MCY/13985853 ")</f>
        <v xml:space="preserve">http://slimages.macys.com/is/image/MCY/13985853 </v>
      </c>
    </row>
    <row r="7" spans="1:12" ht="48.75" x14ac:dyDescent="0.25">
      <c r="A7" s="6" t="s">
        <v>5243</v>
      </c>
      <c r="B7" s="3" t="s">
        <v>5244</v>
      </c>
      <c r="C7" s="4">
        <v>1</v>
      </c>
      <c r="D7" s="5">
        <v>187</v>
      </c>
      <c r="E7" s="4" t="s">
        <v>5245</v>
      </c>
      <c r="F7" s="3" t="s">
        <v>5640</v>
      </c>
      <c r="G7" s="7" t="s">
        <v>4563</v>
      </c>
      <c r="H7" s="3" t="s">
        <v>7059</v>
      </c>
      <c r="I7" s="3" t="s">
        <v>5934</v>
      </c>
      <c r="J7" s="3" t="s">
        <v>5536</v>
      </c>
      <c r="K7" s="3" t="s">
        <v>4564</v>
      </c>
      <c r="L7" s="8" t="str">
        <f>HYPERLINK("http://slimages.macys.com/is/image/MCY/13829093 ")</f>
        <v xml:space="preserve">http://slimages.macys.com/is/image/MCY/13829093 </v>
      </c>
    </row>
    <row r="8" spans="1:12" ht="48.75" x14ac:dyDescent="0.25">
      <c r="A8" s="6" t="s">
        <v>5246</v>
      </c>
      <c r="B8" s="3" t="s">
        <v>5247</v>
      </c>
      <c r="C8" s="4">
        <v>1</v>
      </c>
      <c r="D8" s="5">
        <v>187</v>
      </c>
      <c r="E8" s="4" t="s">
        <v>5248</v>
      </c>
      <c r="F8" s="3" t="s">
        <v>5532</v>
      </c>
      <c r="G8" s="7" t="s">
        <v>5249</v>
      </c>
      <c r="H8" s="3" t="s">
        <v>7059</v>
      </c>
      <c r="I8" s="3" t="s">
        <v>5934</v>
      </c>
      <c r="J8" s="3" t="s">
        <v>5536</v>
      </c>
      <c r="K8" s="3" t="s">
        <v>4564</v>
      </c>
      <c r="L8" s="8" t="str">
        <f>HYPERLINK("http://slimages.macys.com/is/image/MCY/13828724 ")</f>
        <v xml:space="preserve">http://slimages.macys.com/is/image/MCY/13828724 </v>
      </c>
    </row>
    <row r="9" spans="1:12" ht="48.75" x14ac:dyDescent="0.25">
      <c r="A9" s="6" t="s">
        <v>5250</v>
      </c>
      <c r="B9" s="3" t="s">
        <v>4580</v>
      </c>
      <c r="C9" s="4">
        <v>1</v>
      </c>
      <c r="D9" s="5">
        <v>187</v>
      </c>
      <c r="E9" s="4" t="s">
        <v>4581</v>
      </c>
      <c r="F9" s="3" t="s">
        <v>5532</v>
      </c>
      <c r="G9" s="7" t="s">
        <v>4563</v>
      </c>
      <c r="H9" s="3" t="s">
        <v>7059</v>
      </c>
      <c r="I9" s="3" t="s">
        <v>5934</v>
      </c>
      <c r="J9" s="3" t="s">
        <v>5536</v>
      </c>
      <c r="K9" s="3" t="s">
        <v>4564</v>
      </c>
      <c r="L9" s="8" t="str">
        <f>HYPERLINK("http://slimages.macys.com/is/image/MCY/13984590 ")</f>
        <v xml:space="preserve">http://slimages.macys.com/is/image/MCY/13984590 </v>
      </c>
    </row>
    <row r="10" spans="1:12" ht="24.75" x14ac:dyDescent="0.25">
      <c r="A10" s="6" t="s">
        <v>5251</v>
      </c>
      <c r="B10" s="3" t="s">
        <v>5252</v>
      </c>
      <c r="C10" s="4">
        <v>1</v>
      </c>
      <c r="D10" s="5">
        <v>187</v>
      </c>
      <c r="E10" s="4" t="s">
        <v>5253</v>
      </c>
      <c r="F10" s="3"/>
      <c r="G10" s="7" t="s">
        <v>7036</v>
      </c>
      <c r="H10" s="3" t="s">
        <v>7059</v>
      </c>
      <c r="I10" s="3" t="s">
        <v>5934</v>
      </c>
      <c r="J10" s="3" t="s">
        <v>5536</v>
      </c>
      <c r="K10" s="3" t="s">
        <v>4559</v>
      </c>
      <c r="L10" s="8" t="str">
        <f>HYPERLINK("http://slimages.macys.com/is/image/MCY/13300915 ")</f>
        <v xml:space="preserve">http://slimages.macys.com/is/image/MCY/13300915 </v>
      </c>
    </row>
    <row r="11" spans="1:12" ht="24.75" x14ac:dyDescent="0.25">
      <c r="A11" s="6" t="s">
        <v>5254</v>
      </c>
      <c r="B11" s="3" t="s">
        <v>5255</v>
      </c>
      <c r="C11" s="4">
        <v>1</v>
      </c>
      <c r="D11" s="5">
        <v>198</v>
      </c>
      <c r="E11" s="4">
        <v>5042015306800</v>
      </c>
      <c r="F11" s="3" t="s">
        <v>5625</v>
      </c>
      <c r="G11" s="7" t="s">
        <v>4577</v>
      </c>
      <c r="H11" s="3" t="s">
        <v>5223</v>
      </c>
      <c r="I11" s="3" t="s">
        <v>5224</v>
      </c>
      <c r="J11" s="3" t="s">
        <v>5536</v>
      </c>
      <c r="K11" s="3" t="s">
        <v>5256</v>
      </c>
      <c r="L11" s="8" t="str">
        <f>HYPERLINK("http://slimages.macys.com/is/image/MCY/14910264 ")</f>
        <v xml:space="preserve">http://slimages.macys.com/is/image/MCY/14910264 </v>
      </c>
    </row>
    <row r="12" spans="1:12" ht="24.75" x14ac:dyDescent="0.25">
      <c r="A12" s="6" t="s">
        <v>5257</v>
      </c>
      <c r="B12" s="3" t="s">
        <v>5258</v>
      </c>
      <c r="C12" s="4">
        <v>1</v>
      </c>
      <c r="D12" s="5">
        <v>166.1</v>
      </c>
      <c r="E12" s="4" t="s">
        <v>5259</v>
      </c>
      <c r="F12" s="3"/>
      <c r="G12" s="7" t="s">
        <v>5562</v>
      </c>
      <c r="H12" s="3" t="s">
        <v>5877</v>
      </c>
      <c r="I12" s="3" t="s">
        <v>7138</v>
      </c>
      <c r="J12" s="3" t="s">
        <v>5536</v>
      </c>
      <c r="K12" s="3" t="s">
        <v>5260</v>
      </c>
      <c r="L12" s="8" t="str">
        <f>HYPERLINK("http://slimages.macys.com/is/image/MCY/15265163 ")</f>
        <v xml:space="preserve">http://slimages.macys.com/is/image/MCY/15265163 </v>
      </c>
    </row>
    <row r="13" spans="1:12" ht="48.75" x14ac:dyDescent="0.25">
      <c r="A13" s="6" t="s">
        <v>5261</v>
      </c>
      <c r="B13" s="3" t="s">
        <v>5262</v>
      </c>
      <c r="C13" s="4">
        <v>1</v>
      </c>
      <c r="D13" s="5">
        <v>139.25</v>
      </c>
      <c r="E13" s="4" t="s">
        <v>5263</v>
      </c>
      <c r="F13" s="3" t="s">
        <v>5532</v>
      </c>
      <c r="G13" s="7" t="s">
        <v>5264</v>
      </c>
      <c r="H13" s="3" t="s">
        <v>4611</v>
      </c>
      <c r="I13" s="3" t="s">
        <v>5265</v>
      </c>
      <c r="J13" s="3" t="s">
        <v>5536</v>
      </c>
      <c r="K13" s="3" t="s">
        <v>5266</v>
      </c>
      <c r="L13" s="8" t="str">
        <f>HYPERLINK("http://slimages.macys.com/is/image/MCY/14357547 ")</f>
        <v xml:space="preserve">http://slimages.macys.com/is/image/MCY/14357547 </v>
      </c>
    </row>
    <row r="14" spans="1:12" ht="36.75" x14ac:dyDescent="0.25">
      <c r="A14" s="6" t="s">
        <v>5267</v>
      </c>
      <c r="B14" s="3" t="s">
        <v>5268</v>
      </c>
      <c r="C14" s="4">
        <v>1</v>
      </c>
      <c r="D14" s="5">
        <v>127</v>
      </c>
      <c r="E14" s="4" t="s">
        <v>5269</v>
      </c>
      <c r="F14" s="3" t="s">
        <v>5849</v>
      </c>
      <c r="G14" s="7" t="s">
        <v>4620</v>
      </c>
      <c r="H14" s="3" t="s">
        <v>7059</v>
      </c>
      <c r="I14" s="3" t="s">
        <v>5934</v>
      </c>
      <c r="J14" s="3" t="s">
        <v>5536</v>
      </c>
      <c r="K14" s="3" t="s">
        <v>5270</v>
      </c>
      <c r="L14" s="8" t="str">
        <f>HYPERLINK("http://slimages.macys.com/is/image/MCY/11418337 ")</f>
        <v xml:space="preserve">http://slimages.macys.com/is/image/MCY/11418337 </v>
      </c>
    </row>
    <row r="15" spans="1:12" ht="24.75" x14ac:dyDescent="0.25">
      <c r="A15" s="6" t="s">
        <v>5271</v>
      </c>
      <c r="B15" s="3" t="s">
        <v>5272</v>
      </c>
      <c r="C15" s="4">
        <v>1</v>
      </c>
      <c r="D15" s="5">
        <v>125</v>
      </c>
      <c r="E15" s="4" t="s">
        <v>5273</v>
      </c>
      <c r="F15" s="3" t="s">
        <v>5540</v>
      </c>
      <c r="G15" s="7" t="s">
        <v>4618</v>
      </c>
      <c r="H15" s="3" t="s">
        <v>7053</v>
      </c>
      <c r="I15" s="3" t="s">
        <v>7202</v>
      </c>
      <c r="J15" s="3" t="s">
        <v>5536</v>
      </c>
      <c r="K15" s="3" t="s">
        <v>5864</v>
      </c>
      <c r="L15" s="8" t="str">
        <f>HYPERLINK("http://slimages.macys.com/is/image/MCY/11869513 ")</f>
        <v xml:space="preserve">http://slimages.macys.com/is/image/MCY/11869513 </v>
      </c>
    </row>
    <row r="16" spans="1:12" ht="48.75" x14ac:dyDescent="0.25">
      <c r="A16" s="6" t="s">
        <v>5274</v>
      </c>
      <c r="B16" s="3" t="s">
        <v>5275</v>
      </c>
      <c r="C16" s="4">
        <v>1</v>
      </c>
      <c r="D16" s="5">
        <v>109</v>
      </c>
      <c r="E16" s="4" t="s">
        <v>5276</v>
      </c>
      <c r="F16" s="3" t="s">
        <v>5849</v>
      </c>
      <c r="G16" s="7" t="s">
        <v>4572</v>
      </c>
      <c r="H16" s="3" t="s">
        <v>7059</v>
      </c>
      <c r="I16" s="3" t="s">
        <v>4573</v>
      </c>
      <c r="J16" s="3" t="s">
        <v>5536</v>
      </c>
      <c r="K16" s="3" t="s">
        <v>5266</v>
      </c>
      <c r="L16" s="8" t="str">
        <f>HYPERLINK("http://slimages.macys.com/is/image/MCY/15267216 ")</f>
        <v xml:space="preserve">http://slimages.macys.com/is/image/MCY/15267216 </v>
      </c>
    </row>
    <row r="17" spans="1:12" ht="48.75" x14ac:dyDescent="0.25">
      <c r="A17" s="6" t="s">
        <v>5277</v>
      </c>
      <c r="B17" s="3" t="s">
        <v>5275</v>
      </c>
      <c r="C17" s="4">
        <v>1</v>
      </c>
      <c r="D17" s="5">
        <v>109</v>
      </c>
      <c r="E17" s="4" t="s">
        <v>5276</v>
      </c>
      <c r="F17" s="3" t="s">
        <v>5849</v>
      </c>
      <c r="G17" s="7" t="s">
        <v>4605</v>
      </c>
      <c r="H17" s="3" t="s">
        <v>7059</v>
      </c>
      <c r="I17" s="3" t="s">
        <v>4573</v>
      </c>
      <c r="J17" s="3" t="s">
        <v>5536</v>
      </c>
      <c r="K17" s="3" t="s">
        <v>5266</v>
      </c>
      <c r="L17" s="8" t="str">
        <f>HYPERLINK("http://slimages.macys.com/is/image/MCY/15267216 ")</f>
        <v xml:space="preserve">http://slimages.macys.com/is/image/MCY/15267216 </v>
      </c>
    </row>
    <row r="18" spans="1:12" ht="48.75" x14ac:dyDescent="0.25">
      <c r="A18" s="6" t="s">
        <v>5278</v>
      </c>
      <c r="B18" s="3" t="s">
        <v>5279</v>
      </c>
      <c r="C18" s="4">
        <v>1</v>
      </c>
      <c r="D18" s="5">
        <v>99</v>
      </c>
      <c r="E18" s="4" t="s">
        <v>5280</v>
      </c>
      <c r="F18" s="3" t="s">
        <v>5604</v>
      </c>
      <c r="G18" s="7" t="s">
        <v>4563</v>
      </c>
      <c r="H18" s="3" t="s">
        <v>7059</v>
      </c>
      <c r="I18" s="3" t="s">
        <v>4573</v>
      </c>
      <c r="J18" s="3" t="s">
        <v>5536</v>
      </c>
      <c r="K18" s="3" t="s">
        <v>5266</v>
      </c>
      <c r="L18" s="8" t="str">
        <f>HYPERLINK("http://slimages.macys.com/is/image/MCY/13742221 ")</f>
        <v xml:space="preserve">http://slimages.macys.com/is/image/MCY/13742221 </v>
      </c>
    </row>
    <row r="19" spans="1:12" ht="36.75" x14ac:dyDescent="0.25">
      <c r="A19" s="6" t="s">
        <v>5281</v>
      </c>
      <c r="B19" s="3" t="s">
        <v>5282</v>
      </c>
      <c r="C19" s="4">
        <v>1</v>
      </c>
      <c r="D19" s="5">
        <v>119.99</v>
      </c>
      <c r="E19" s="4" t="s">
        <v>5283</v>
      </c>
      <c r="F19" s="3" t="s">
        <v>5977</v>
      </c>
      <c r="G19" s="7" t="s">
        <v>5533</v>
      </c>
      <c r="H19" s="3" t="s">
        <v>4533</v>
      </c>
      <c r="I19" s="3" t="s">
        <v>4534</v>
      </c>
      <c r="J19" s="3" t="s">
        <v>5536</v>
      </c>
      <c r="K19" s="3" t="s">
        <v>5284</v>
      </c>
      <c r="L19" s="8" t="str">
        <f>HYPERLINK("http://slimages.macys.com/is/image/MCY/14428404 ")</f>
        <v xml:space="preserve">http://slimages.macys.com/is/image/MCY/14428404 </v>
      </c>
    </row>
    <row r="20" spans="1:12" ht="24.75" x14ac:dyDescent="0.25">
      <c r="A20" s="6" t="s">
        <v>5285</v>
      </c>
      <c r="B20" s="3" t="s">
        <v>5286</v>
      </c>
      <c r="C20" s="4">
        <v>1</v>
      </c>
      <c r="D20" s="5">
        <v>99</v>
      </c>
      <c r="E20" s="4" t="s">
        <v>5287</v>
      </c>
      <c r="F20" s="3" t="s">
        <v>5625</v>
      </c>
      <c r="G20" s="7" t="s">
        <v>5562</v>
      </c>
      <c r="H20" s="3" t="s">
        <v>5547</v>
      </c>
      <c r="I20" s="3" t="s">
        <v>5548</v>
      </c>
      <c r="J20" s="3" t="s">
        <v>5536</v>
      </c>
      <c r="K20" s="3" t="s">
        <v>5587</v>
      </c>
      <c r="L20" s="8" t="str">
        <f>HYPERLINK("http://slimages.macys.com/is/image/MCY/15868652 ")</f>
        <v xml:space="preserve">http://slimages.macys.com/is/image/MCY/15868652 </v>
      </c>
    </row>
    <row r="21" spans="1:12" ht="24.75" x14ac:dyDescent="0.25">
      <c r="A21" s="6" t="s">
        <v>5288</v>
      </c>
      <c r="B21" s="3" t="s">
        <v>5289</v>
      </c>
      <c r="C21" s="4">
        <v>1</v>
      </c>
      <c r="D21" s="5">
        <v>89</v>
      </c>
      <c r="E21" s="4" t="s">
        <v>5290</v>
      </c>
      <c r="F21" s="3" t="s">
        <v>5578</v>
      </c>
      <c r="G21" s="7" t="s">
        <v>5567</v>
      </c>
      <c r="H21" s="3" t="s">
        <v>7042</v>
      </c>
      <c r="I21" s="3" t="s">
        <v>5291</v>
      </c>
      <c r="J21" s="3" t="s">
        <v>5536</v>
      </c>
      <c r="K21" s="3" t="s">
        <v>5558</v>
      </c>
      <c r="L21" s="8" t="str">
        <f>HYPERLINK("http://slimages.macys.com/is/image/MCY/15180223 ")</f>
        <v xml:space="preserve">http://slimages.macys.com/is/image/MCY/15180223 </v>
      </c>
    </row>
    <row r="22" spans="1:12" ht="36.75" x14ac:dyDescent="0.25">
      <c r="A22" s="6" t="s">
        <v>5292</v>
      </c>
      <c r="B22" s="3" t="s">
        <v>7056</v>
      </c>
      <c r="C22" s="4">
        <v>1</v>
      </c>
      <c r="D22" s="5">
        <v>110</v>
      </c>
      <c r="E22" s="4" t="s">
        <v>7057</v>
      </c>
      <c r="F22" s="3" t="s">
        <v>5803</v>
      </c>
      <c r="G22" s="7" t="s">
        <v>5249</v>
      </c>
      <c r="H22" s="3" t="s">
        <v>7059</v>
      </c>
      <c r="I22" s="3" t="s">
        <v>7060</v>
      </c>
      <c r="J22" s="3" t="s">
        <v>5536</v>
      </c>
      <c r="K22" s="3" t="s">
        <v>7061</v>
      </c>
      <c r="L22" s="8" t="str">
        <f>HYPERLINK("http://slimages.macys.com/is/image/MCY/14441917 ")</f>
        <v xml:space="preserve">http://slimages.macys.com/is/image/MCY/14441917 </v>
      </c>
    </row>
    <row r="23" spans="1:12" x14ac:dyDescent="0.25">
      <c r="A23" s="6" t="s">
        <v>5293</v>
      </c>
      <c r="B23" s="3" t="s">
        <v>5294</v>
      </c>
      <c r="C23" s="4">
        <v>1</v>
      </c>
      <c r="D23" s="5">
        <v>85</v>
      </c>
      <c r="E23" s="4" t="s">
        <v>5295</v>
      </c>
      <c r="F23" s="3" t="s">
        <v>5803</v>
      </c>
      <c r="G23" s="7" t="s">
        <v>5533</v>
      </c>
      <c r="H23" s="3" t="s">
        <v>4379</v>
      </c>
      <c r="I23" s="3" t="s">
        <v>5296</v>
      </c>
      <c r="J23" s="3" t="s">
        <v>5536</v>
      </c>
      <c r="K23" s="3" t="s">
        <v>5297</v>
      </c>
      <c r="L23" s="8" t="str">
        <f>HYPERLINK("http://slimages.macys.com/is/image/MCY/13827889 ")</f>
        <v xml:space="preserve">http://slimages.macys.com/is/image/MCY/13827889 </v>
      </c>
    </row>
    <row r="24" spans="1:12" ht="36.75" x14ac:dyDescent="0.25">
      <c r="A24" s="6" t="s">
        <v>5298</v>
      </c>
      <c r="B24" s="3" t="s">
        <v>5299</v>
      </c>
      <c r="C24" s="4">
        <v>1</v>
      </c>
      <c r="D24" s="5">
        <v>89</v>
      </c>
      <c r="E24" s="4" t="s">
        <v>5300</v>
      </c>
      <c r="F24" s="3" t="s">
        <v>5754</v>
      </c>
      <c r="G24" s="7" t="s">
        <v>7052</v>
      </c>
      <c r="H24" s="3" t="s">
        <v>7059</v>
      </c>
      <c r="I24" s="3" t="s">
        <v>5934</v>
      </c>
      <c r="J24" s="3" t="s">
        <v>5536</v>
      </c>
      <c r="K24" s="3" t="s">
        <v>5301</v>
      </c>
      <c r="L24" s="8" t="str">
        <f>HYPERLINK("http://slimages.macys.com/is/image/MCY/14453504 ")</f>
        <v xml:space="preserve">http://slimages.macys.com/is/image/MCY/14453504 </v>
      </c>
    </row>
    <row r="25" spans="1:12" ht="24.75" x14ac:dyDescent="0.25">
      <c r="A25" s="6" t="s">
        <v>5302</v>
      </c>
      <c r="B25" s="3" t="s">
        <v>5303</v>
      </c>
      <c r="C25" s="4">
        <v>1</v>
      </c>
      <c r="D25" s="5">
        <v>89.5</v>
      </c>
      <c r="E25" s="4">
        <v>710748907004</v>
      </c>
      <c r="F25" s="3" t="s">
        <v>5552</v>
      </c>
      <c r="G25" s="7" t="s">
        <v>5560</v>
      </c>
      <c r="H25" s="3" t="s">
        <v>5534</v>
      </c>
      <c r="I25" s="3" t="s">
        <v>5535</v>
      </c>
      <c r="J25" s="3" t="s">
        <v>5536</v>
      </c>
      <c r="K25" s="3" t="s">
        <v>5594</v>
      </c>
      <c r="L25" s="8" t="str">
        <f>HYPERLINK("http://slimages.macys.com/is/image/MCY/12934553 ")</f>
        <v xml:space="preserve">http://slimages.macys.com/is/image/MCY/12934553 </v>
      </c>
    </row>
    <row r="26" spans="1:12" ht="24.75" x14ac:dyDescent="0.25">
      <c r="A26" s="6" t="s">
        <v>5304</v>
      </c>
      <c r="B26" s="3" t="s">
        <v>5305</v>
      </c>
      <c r="C26" s="4">
        <v>1</v>
      </c>
      <c r="D26" s="5">
        <v>89.5</v>
      </c>
      <c r="E26" s="4">
        <v>710690138053</v>
      </c>
      <c r="F26" s="3" t="s">
        <v>5625</v>
      </c>
      <c r="G26" s="7" t="s">
        <v>5707</v>
      </c>
      <c r="H26" s="3" t="s">
        <v>5534</v>
      </c>
      <c r="I26" s="3" t="s">
        <v>5535</v>
      </c>
      <c r="J26" s="3" t="s">
        <v>5536</v>
      </c>
      <c r="K26" s="3" t="s">
        <v>5558</v>
      </c>
      <c r="L26" s="8" t="str">
        <f>HYPERLINK("http://slimages.macys.com/is/image/MCY/13533437 ")</f>
        <v xml:space="preserve">http://slimages.macys.com/is/image/MCY/13533437 </v>
      </c>
    </row>
    <row r="27" spans="1:12" ht="24.75" x14ac:dyDescent="0.25">
      <c r="A27" s="6" t="s">
        <v>5306</v>
      </c>
      <c r="B27" s="3" t="s">
        <v>5305</v>
      </c>
      <c r="C27" s="4">
        <v>1</v>
      </c>
      <c r="D27" s="5">
        <v>89.5</v>
      </c>
      <c r="E27" s="4">
        <v>710690138052</v>
      </c>
      <c r="F27" s="3" t="s">
        <v>5552</v>
      </c>
      <c r="G27" s="7" t="s">
        <v>5707</v>
      </c>
      <c r="H27" s="3" t="s">
        <v>5534</v>
      </c>
      <c r="I27" s="3" t="s">
        <v>5535</v>
      </c>
      <c r="J27" s="3" t="s">
        <v>5536</v>
      </c>
      <c r="K27" s="3" t="s">
        <v>5558</v>
      </c>
      <c r="L27" s="8" t="str">
        <f>HYPERLINK("http://slimages.macys.com/is/image/MCY/13533437 ")</f>
        <v xml:space="preserve">http://slimages.macys.com/is/image/MCY/13533437 </v>
      </c>
    </row>
    <row r="28" spans="1:12" ht="24.75" x14ac:dyDescent="0.25">
      <c r="A28" s="6" t="s">
        <v>5307</v>
      </c>
      <c r="B28" s="3" t="s">
        <v>5305</v>
      </c>
      <c r="C28" s="4">
        <v>1</v>
      </c>
      <c r="D28" s="5">
        <v>89.5</v>
      </c>
      <c r="E28" s="4">
        <v>710690138053</v>
      </c>
      <c r="F28" s="3" t="s">
        <v>5625</v>
      </c>
      <c r="G28" s="7" t="s">
        <v>5308</v>
      </c>
      <c r="H28" s="3" t="s">
        <v>5534</v>
      </c>
      <c r="I28" s="3" t="s">
        <v>5535</v>
      </c>
      <c r="J28" s="3" t="s">
        <v>5536</v>
      </c>
      <c r="K28" s="3" t="s">
        <v>5558</v>
      </c>
      <c r="L28" s="8" t="str">
        <f>HYPERLINK("http://slimages.macys.com/is/image/MCY/13533437 ")</f>
        <v xml:space="preserve">http://slimages.macys.com/is/image/MCY/13533437 </v>
      </c>
    </row>
    <row r="29" spans="1:12" ht="24.75" x14ac:dyDescent="0.25">
      <c r="A29" s="6" t="s">
        <v>5309</v>
      </c>
      <c r="B29" s="3" t="s">
        <v>5305</v>
      </c>
      <c r="C29" s="4">
        <v>1</v>
      </c>
      <c r="D29" s="5">
        <v>89.5</v>
      </c>
      <c r="E29" s="4">
        <v>710690138052</v>
      </c>
      <c r="F29" s="3" t="s">
        <v>5552</v>
      </c>
      <c r="G29" s="7" t="s">
        <v>5308</v>
      </c>
      <c r="H29" s="3" t="s">
        <v>5534</v>
      </c>
      <c r="I29" s="3" t="s">
        <v>5535</v>
      </c>
      <c r="J29" s="3" t="s">
        <v>5536</v>
      </c>
      <c r="K29" s="3" t="s">
        <v>5558</v>
      </c>
      <c r="L29" s="8" t="str">
        <f>HYPERLINK("http://slimages.macys.com/is/image/MCY/13533437 ")</f>
        <v xml:space="preserve">http://slimages.macys.com/is/image/MCY/13533437 </v>
      </c>
    </row>
    <row r="30" spans="1:12" ht="24.75" x14ac:dyDescent="0.25">
      <c r="A30" s="6" t="s">
        <v>5310</v>
      </c>
      <c r="B30" s="3" t="s">
        <v>5305</v>
      </c>
      <c r="C30" s="4">
        <v>1</v>
      </c>
      <c r="D30" s="5">
        <v>89.5</v>
      </c>
      <c r="E30" s="4">
        <v>710690138052</v>
      </c>
      <c r="F30" s="3" t="s">
        <v>5552</v>
      </c>
      <c r="G30" s="7" t="s">
        <v>5311</v>
      </c>
      <c r="H30" s="3" t="s">
        <v>5534</v>
      </c>
      <c r="I30" s="3" t="s">
        <v>5535</v>
      </c>
      <c r="J30" s="3" t="s">
        <v>5536</v>
      </c>
      <c r="K30" s="3" t="s">
        <v>5558</v>
      </c>
      <c r="L30" s="8" t="str">
        <f>HYPERLINK("http://slimages.macys.com/is/image/MCY/13533437 ")</f>
        <v xml:space="preserve">http://slimages.macys.com/is/image/MCY/13533437 </v>
      </c>
    </row>
    <row r="31" spans="1:12" ht="24.75" x14ac:dyDescent="0.25">
      <c r="A31" s="6" t="s">
        <v>5312</v>
      </c>
      <c r="B31" s="3" t="s">
        <v>5313</v>
      </c>
      <c r="C31" s="4">
        <v>1</v>
      </c>
      <c r="D31" s="5">
        <v>85</v>
      </c>
      <c r="E31" s="4">
        <v>710653408035</v>
      </c>
      <c r="F31" s="3" t="s">
        <v>5532</v>
      </c>
      <c r="G31" s="7" t="s">
        <v>5707</v>
      </c>
      <c r="H31" s="3" t="s">
        <v>5534</v>
      </c>
      <c r="I31" s="3" t="s">
        <v>5535</v>
      </c>
      <c r="J31" s="3" t="s">
        <v>5536</v>
      </c>
      <c r="K31" s="3" t="s">
        <v>5594</v>
      </c>
      <c r="L31" s="8" t="str">
        <f>HYPERLINK("http://slimages.macys.com/is/image/MCY/13534284 ")</f>
        <v xml:space="preserve">http://slimages.macys.com/is/image/MCY/13534284 </v>
      </c>
    </row>
    <row r="32" spans="1:12" ht="36.75" x14ac:dyDescent="0.25">
      <c r="A32" s="6" t="s">
        <v>5314</v>
      </c>
      <c r="B32" s="3" t="s">
        <v>5315</v>
      </c>
      <c r="C32" s="4">
        <v>1</v>
      </c>
      <c r="D32" s="5">
        <v>94.4</v>
      </c>
      <c r="E32" s="4" t="s">
        <v>5316</v>
      </c>
      <c r="F32" s="3" t="s">
        <v>5977</v>
      </c>
      <c r="G32" s="7" t="s">
        <v>5662</v>
      </c>
      <c r="H32" s="3" t="s">
        <v>7099</v>
      </c>
      <c r="I32" s="3" t="s">
        <v>4573</v>
      </c>
      <c r="J32" s="3" t="s">
        <v>5536</v>
      </c>
      <c r="K32" s="3" t="s">
        <v>7038</v>
      </c>
      <c r="L32" s="8" t="str">
        <f>HYPERLINK("http://slimages.macys.com/is/image/MCY/13345096 ")</f>
        <v xml:space="preserve">http://slimages.macys.com/is/image/MCY/13345096 </v>
      </c>
    </row>
    <row r="33" spans="1:12" ht="36.75" x14ac:dyDescent="0.25">
      <c r="A33" s="6" t="s">
        <v>5317</v>
      </c>
      <c r="B33" s="3" t="s">
        <v>5315</v>
      </c>
      <c r="C33" s="4">
        <v>1</v>
      </c>
      <c r="D33" s="5">
        <v>94.4</v>
      </c>
      <c r="E33" s="4" t="s">
        <v>5316</v>
      </c>
      <c r="F33" s="3" t="s">
        <v>5977</v>
      </c>
      <c r="G33" s="7" t="s">
        <v>5656</v>
      </c>
      <c r="H33" s="3" t="s">
        <v>7099</v>
      </c>
      <c r="I33" s="3" t="s">
        <v>4573</v>
      </c>
      <c r="J33" s="3" t="s">
        <v>5536</v>
      </c>
      <c r="K33" s="3" t="s">
        <v>7038</v>
      </c>
      <c r="L33" s="8" t="str">
        <f>HYPERLINK("http://slimages.macys.com/is/image/MCY/13345096 ")</f>
        <v xml:space="preserve">http://slimages.macys.com/is/image/MCY/13345096 </v>
      </c>
    </row>
    <row r="34" spans="1:12" ht="36.75" x14ac:dyDescent="0.25">
      <c r="A34" s="6" t="s">
        <v>5318</v>
      </c>
      <c r="B34" s="3" t="s">
        <v>5319</v>
      </c>
      <c r="C34" s="4">
        <v>1</v>
      </c>
      <c r="D34" s="5">
        <v>90</v>
      </c>
      <c r="E34" s="4" t="s">
        <v>5320</v>
      </c>
      <c r="F34" s="3" t="s">
        <v>6075</v>
      </c>
      <c r="G34" s="7" t="s">
        <v>5656</v>
      </c>
      <c r="H34" s="3" t="s">
        <v>7099</v>
      </c>
      <c r="I34" s="3" t="s">
        <v>5934</v>
      </c>
      <c r="J34" s="3" t="s">
        <v>5536</v>
      </c>
      <c r="K34" s="3" t="s">
        <v>7038</v>
      </c>
      <c r="L34" s="8" t="str">
        <f>HYPERLINK("http://slimages.macys.com/is/image/MCY/14351358 ")</f>
        <v xml:space="preserve">http://slimages.macys.com/is/image/MCY/14351358 </v>
      </c>
    </row>
    <row r="35" spans="1:12" ht="36.75" x14ac:dyDescent="0.25">
      <c r="A35" s="6" t="s">
        <v>5321</v>
      </c>
      <c r="B35" s="3" t="s">
        <v>5322</v>
      </c>
      <c r="C35" s="4">
        <v>1</v>
      </c>
      <c r="D35" s="5">
        <v>90</v>
      </c>
      <c r="E35" s="4" t="s">
        <v>5323</v>
      </c>
      <c r="F35" s="3" t="s">
        <v>5625</v>
      </c>
      <c r="G35" s="7" t="s">
        <v>5629</v>
      </c>
      <c r="H35" s="3" t="s">
        <v>7099</v>
      </c>
      <c r="I35" s="3" t="s">
        <v>5934</v>
      </c>
      <c r="J35" s="3" t="s">
        <v>5536</v>
      </c>
      <c r="K35" s="3" t="s">
        <v>7038</v>
      </c>
      <c r="L35" s="8" t="str">
        <f>HYPERLINK("http://slimages.macys.com/is/image/MCY/14615318 ")</f>
        <v xml:space="preserve">http://slimages.macys.com/is/image/MCY/14615318 </v>
      </c>
    </row>
    <row r="36" spans="1:12" ht="24.75" x14ac:dyDescent="0.25">
      <c r="A36" s="6" t="s">
        <v>5324</v>
      </c>
      <c r="B36" s="3" t="s">
        <v>5325</v>
      </c>
      <c r="C36" s="4">
        <v>1</v>
      </c>
      <c r="D36" s="5">
        <v>70</v>
      </c>
      <c r="E36" s="4" t="s">
        <v>5326</v>
      </c>
      <c r="F36" s="3" t="s">
        <v>5540</v>
      </c>
      <c r="G36" s="7" t="s">
        <v>5598</v>
      </c>
      <c r="H36" s="3" t="s">
        <v>4819</v>
      </c>
      <c r="I36" s="3" t="s">
        <v>4820</v>
      </c>
      <c r="J36" s="3" t="s">
        <v>5536</v>
      </c>
      <c r="K36" s="3" t="s">
        <v>5327</v>
      </c>
      <c r="L36" s="8" t="str">
        <f>HYPERLINK("http://slimages.macys.com/is/image/MCY/14453954 ")</f>
        <v xml:space="preserve">http://slimages.macys.com/is/image/MCY/14453954 </v>
      </c>
    </row>
    <row r="37" spans="1:12" ht="24.75" x14ac:dyDescent="0.25">
      <c r="A37" s="6" t="s">
        <v>5328</v>
      </c>
      <c r="B37" s="3" t="s">
        <v>4665</v>
      </c>
      <c r="C37" s="4">
        <v>1</v>
      </c>
      <c r="D37" s="5">
        <v>58.5</v>
      </c>
      <c r="E37" s="4">
        <v>191110078</v>
      </c>
      <c r="F37" s="3" t="s">
        <v>5552</v>
      </c>
      <c r="G37" s="7" t="s">
        <v>5635</v>
      </c>
      <c r="H37" s="3" t="s">
        <v>5606</v>
      </c>
      <c r="I37" s="3" t="s">
        <v>5607</v>
      </c>
      <c r="J37" s="3" t="s">
        <v>5536</v>
      </c>
      <c r="K37" s="3" t="s">
        <v>5641</v>
      </c>
      <c r="L37" s="8" t="str">
        <f>HYPERLINK("http://slimages.macys.com/is/image/MCY/2927814 ")</f>
        <v xml:space="preserve">http://slimages.macys.com/is/image/MCY/2927814 </v>
      </c>
    </row>
    <row r="38" spans="1:12" ht="24.75" x14ac:dyDescent="0.25">
      <c r="A38" s="6" t="s">
        <v>5329</v>
      </c>
      <c r="B38" s="3" t="s">
        <v>5330</v>
      </c>
      <c r="C38" s="4">
        <v>2</v>
      </c>
      <c r="D38" s="5">
        <v>130</v>
      </c>
      <c r="E38" s="4" t="s">
        <v>5331</v>
      </c>
      <c r="F38" s="3" t="s">
        <v>6496</v>
      </c>
      <c r="G38" s="7" t="s">
        <v>5596</v>
      </c>
      <c r="H38" s="3" t="s">
        <v>4379</v>
      </c>
      <c r="I38" s="3" t="s">
        <v>5296</v>
      </c>
      <c r="J38" s="3" t="s">
        <v>5536</v>
      </c>
      <c r="K38" s="3" t="s">
        <v>5587</v>
      </c>
      <c r="L38" s="8" t="str">
        <f>HYPERLINK("http://slimages.macys.com/is/image/MCY/13755173 ")</f>
        <v xml:space="preserve">http://slimages.macys.com/is/image/MCY/13755173 </v>
      </c>
    </row>
    <row r="39" spans="1:12" x14ac:dyDescent="0.25">
      <c r="A39" s="6" t="s">
        <v>5332</v>
      </c>
      <c r="B39" s="3" t="s">
        <v>5333</v>
      </c>
      <c r="C39" s="4">
        <v>1</v>
      </c>
      <c r="D39" s="5">
        <v>53.5</v>
      </c>
      <c r="E39" s="4">
        <v>131510137</v>
      </c>
      <c r="F39" s="3" t="s">
        <v>5625</v>
      </c>
      <c r="G39" s="7" t="s">
        <v>5557</v>
      </c>
      <c r="H39" s="3" t="s">
        <v>5606</v>
      </c>
      <c r="I39" s="3" t="s">
        <v>5607</v>
      </c>
      <c r="J39" s="3" t="s">
        <v>5536</v>
      </c>
      <c r="K39" s="3" t="s">
        <v>5558</v>
      </c>
      <c r="L39" s="8" t="str">
        <f>HYPERLINK("http://slimages.macys.com/is/image/MCY/2977507 ")</f>
        <v xml:space="preserve">http://slimages.macys.com/is/image/MCY/2977507 </v>
      </c>
    </row>
    <row r="40" spans="1:12" x14ac:dyDescent="0.25">
      <c r="A40" s="6" t="s">
        <v>5334</v>
      </c>
      <c r="B40" s="3" t="s">
        <v>5335</v>
      </c>
      <c r="C40" s="4">
        <v>1</v>
      </c>
      <c r="D40" s="5">
        <v>53.5</v>
      </c>
      <c r="E40" s="4">
        <v>131510082</v>
      </c>
      <c r="F40" s="3" t="s">
        <v>5540</v>
      </c>
      <c r="G40" s="7"/>
      <c r="H40" s="3" t="s">
        <v>5606</v>
      </c>
      <c r="I40" s="3" t="s">
        <v>5607</v>
      </c>
      <c r="J40" s="3" t="s">
        <v>5536</v>
      </c>
      <c r="K40" s="3" t="s">
        <v>5558</v>
      </c>
      <c r="L40" s="8" t="str">
        <f>HYPERLINK("http://slimages.macys.com/is/image/MCY/2977507 ")</f>
        <v xml:space="preserve">http://slimages.macys.com/is/image/MCY/2977507 </v>
      </c>
    </row>
    <row r="41" spans="1:12" ht="24.75" x14ac:dyDescent="0.25">
      <c r="A41" s="6" t="s">
        <v>5336</v>
      </c>
      <c r="B41" s="3" t="s">
        <v>5633</v>
      </c>
      <c r="C41" s="4">
        <v>1</v>
      </c>
      <c r="D41" s="5">
        <v>53.5</v>
      </c>
      <c r="E41" s="4">
        <v>131510085</v>
      </c>
      <c r="F41" s="3" t="s">
        <v>5634</v>
      </c>
      <c r="G41" s="7" t="s">
        <v>5622</v>
      </c>
      <c r="H41" s="3" t="s">
        <v>5606</v>
      </c>
      <c r="I41" s="3" t="s">
        <v>5607</v>
      </c>
      <c r="J41" s="3" t="s">
        <v>5536</v>
      </c>
      <c r="K41" s="3" t="s">
        <v>5558</v>
      </c>
      <c r="L41" s="8" t="str">
        <f>HYPERLINK("http://slimages.macys.com/is/image/MCY/2977507 ")</f>
        <v xml:space="preserve">http://slimages.macys.com/is/image/MCY/2977507 </v>
      </c>
    </row>
    <row r="42" spans="1:12" ht="24.75" x14ac:dyDescent="0.25">
      <c r="A42" s="6" t="s">
        <v>5638</v>
      </c>
      <c r="B42" s="3" t="s">
        <v>5639</v>
      </c>
      <c r="C42" s="4">
        <v>1</v>
      </c>
      <c r="D42" s="5">
        <v>53.5</v>
      </c>
      <c r="E42" s="4">
        <v>45114088</v>
      </c>
      <c r="F42" s="3" t="s">
        <v>5640</v>
      </c>
      <c r="G42" s="7"/>
      <c r="H42" s="3" t="s">
        <v>5606</v>
      </c>
      <c r="I42" s="3" t="s">
        <v>5607</v>
      </c>
      <c r="J42" s="3" t="s">
        <v>5536</v>
      </c>
      <c r="K42" s="3" t="s">
        <v>5641</v>
      </c>
      <c r="L42" s="8" t="str">
        <f>HYPERLINK("http://slimages.macys.com/is/image/MCY/14606494 ")</f>
        <v xml:space="preserve">http://slimages.macys.com/is/image/MCY/14606494 </v>
      </c>
    </row>
    <row r="43" spans="1:12" x14ac:dyDescent="0.25">
      <c r="A43" s="6" t="s">
        <v>5337</v>
      </c>
      <c r="B43" s="3" t="s">
        <v>5335</v>
      </c>
      <c r="C43" s="4">
        <v>1</v>
      </c>
      <c r="D43" s="5">
        <v>53.5</v>
      </c>
      <c r="E43" s="4">
        <v>131510082</v>
      </c>
      <c r="F43" s="3" t="s">
        <v>5540</v>
      </c>
      <c r="G43" s="7" t="s">
        <v>5637</v>
      </c>
      <c r="H43" s="3" t="s">
        <v>5606</v>
      </c>
      <c r="I43" s="3" t="s">
        <v>5607</v>
      </c>
      <c r="J43" s="3" t="s">
        <v>5536</v>
      </c>
      <c r="K43" s="3" t="s">
        <v>5558</v>
      </c>
      <c r="L43" s="8" t="str">
        <f>HYPERLINK("http://slimages.macys.com/is/image/MCY/2977507 ")</f>
        <v xml:space="preserve">http://slimages.macys.com/is/image/MCY/2977507 </v>
      </c>
    </row>
    <row r="44" spans="1:12" x14ac:dyDescent="0.25">
      <c r="A44" s="6" t="s">
        <v>5338</v>
      </c>
      <c r="B44" s="3" t="s">
        <v>5653</v>
      </c>
      <c r="C44" s="4">
        <v>1</v>
      </c>
      <c r="D44" s="5">
        <v>53.5</v>
      </c>
      <c r="E44" s="4">
        <v>295070702</v>
      </c>
      <c r="F44" s="3" t="s">
        <v>5578</v>
      </c>
      <c r="G44" s="7"/>
      <c r="H44" s="3" t="s">
        <v>5606</v>
      </c>
      <c r="I44" s="3" t="s">
        <v>5607</v>
      </c>
      <c r="J44" s="3" t="s">
        <v>5536</v>
      </c>
      <c r="K44" s="3" t="s">
        <v>5558</v>
      </c>
      <c r="L44" s="8" t="str">
        <f>HYPERLINK("http://slimages.macys.com/is/image/MCY/10568493 ")</f>
        <v xml:space="preserve">http://slimages.macys.com/is/image/MCY/10568493 </v>
      </c>
    </row>
    <row r="45" spans="1:12" ht="24.75" x14ac:dyDescent="0.25">
      <c r="A45" s="6" t="s">
        <v>5339</v>
      </c>
      <c r="B45" s="3" t="s">
        <v>5340</v>
      </c>
      <c r="C45" s="4">
        <v>1</v>
      </c>
      <c r="D45" s="5">
        <v>80</v>
      </c>
      <c r="E45" s="4" t="s">
        <v>5341</v>
      </c>
      <c r="F45" s="3" t="s">
        <v>5532</v>
      </c>
      <c r="G45" s="7" t="s">
        <v>5562</v>
      </c>
      <c r="H45" s="3" t="s">
        <v>4819</v>
      </c>
      <c r="I45" s="3" t="s">
        <v>4820</v>
      </c>
      <c r="J45" s="3" t="s">
        <v>5536</v>
      </c>
      <c r="K45" s="3" t="s">
        <v>5727</v>
      </c>
      <c r="L45" s="8" t="str">
        <f>HYPERLINK("http://slimages.macys.com/is/image/MCY/13744852 ")</f>
        <v xml:space="preserve">http://slimages.macys.com/is/image/MCY/13744852 </v>
      </c>
    </row>
    <row r="46" spans="1:12" ht="24.75" x14ac:dyDescent="0.25">
      <c r="A46" s="6" t="s">
        <v>5342</v>
      </c>
      <c r="B46" s="3" t="s">
        <v>5340</v>
      </c>
      <c r="C46" s="4">
        <v>1</v>
      </c>
      <c r="D46" s="5">
        <v>80</v>
      </c>
      <c r="E46" s="4" t="s">
        <v>5341</v>
      </c>
      <c r="F46" s="3" t="s">
        <v>5532</v>
      </c>
      <c r="G46" s="7" t="s">
        <v>5533</v>
      </c>
      <c r="H46" s="3" t="s">
        <v>4819</v>
      </c>
      <c r="I46" s="3" t="s">
        <v>4820</v>
      </c>
      <c r="J46" s="3" t="s">
        <v>5536</v>
      </c>
      <c r="K46" s="3" t="s">
        <v>5727</v>
      </c>
      <c r="L46" s="8" t="str">
        <f>HYPERLINK("http://slimages.macys.com/is/image/MCY/13744852 ")</f>
        <v xml:space="preserve">http://slimages.macys.com/is/image/MCY/13744852 </v>
      </c>
    </row>
    <row r="47" spans="1:12" ht="24.75" x14ac:dyDescent="0.25">
      <c r="A47" s="6" t="s">
        <v>5343</v>
      </c>
      <c r="B47" s="3" t="s">
        <v>5344</v>
      </c>
      <c r="C47" s="4">
        <v>1</v>
      </c>
      <c r="D47" s="5">
        <v>89.5</v>
      </c>
      <c r="E47" s="4" t="s">
        <v>5345</v>
      </c>
      <c r="F47" s="3" t="s">
        <v>5604</v>
      </c>
      <c r="G47" s="7" t="s">
        <v>5629</v>
      </c>
      <c r="H47" s="3" t="s">
        <v>5617</v>
      </c>
      <c r="I47" s="3" t="s">
        <v>5618</v>
      </c>
      <c r="J47" s="3" t="s">
        <v>5536</v>
      </c>
      <c r="K47" s="3" t="s">
        <v>6021</v>
      </c>
      <c r="L47" s="8" t="str">
        <f>HYPERLINK("http://slimages.macys.com/is/image/MCY/16470037 ")</f>
        <v xml:space="preserve">http://slimages.macys.com/is/image/MCY/16470037 </v>
      </c>
    </row>
    <row r="48" spans="1:12" ht="24.75" x14ac:dyDescent="0.25">
      <c r="A48" s="6" t="s">
        <v>5346</v>
      </c>
      <c r="B48" s="3" t="s">
        <v>5347</v>
      </c>
      <c r="C48" s="4">
        <v>1</v>
      </c>
      <c r="D48" s="5">
        <v>39.99</v>
      </c>
      <c r="E48" s="4">
        <v>5690133</v>
      </c>
      <c r="F48" s="3" t="s">
        <v>5604</v>
      </c>
      <c r="G48" s="7" t="s">
        <v>5579</v>
      </c>
      <c r="H48" s="3" t="s">
        <v>5606</v>
      </c>
      <c r="I48" s="3" t="s">
        <v>5607</v>
      </c>
      <c r="J48" s="3" t="s">
        <v>5536</v>
      </c>
      <c r="K48" s="3" t="s">
        <v>5641</v>
      </c>
      <c r="L48" s="8" t="str">
        <f>HYPERLINK("http://slimages.macys.com/is/image/MCY/2577876 ")</f>
        <v xml:space="preserve">http://slimages.macys.com/is/image/MCY/2577876 </v>
      </c>
    </row>
    <row r="49" spans="1:12" ht="24.75" x14ac:dyDescent="0.25">
      <c r="A49" s="6" t="s">
        <v>5348</v>
      </c>
      <c r="B49" s="3" t="s">
        <v>5349</v>
      </c>
      <c r="C49" s="4">
        <v>1</v>
      </c>
      <c r="D49" s="5">
        <v>43.5</v>
      </c>
      <c r="E49" s="4">
        <v>5690601</v>
      </c>
      <c r="F49" s="3" t="s">
        <v>5793</v>
      </c>
      <c r="G49" s="7" t="s">
        <v>5567</v>
      </c>
      <c r="H49" s="3" t="s">
        <v>5606</v>
      </c>
      <c r="I49" s="3" t="s">
        <v>5607</v>
      </c>
      <c r="J49" s="3" t="s">
        <v>5536</v>
      </c>
      <c r="K49" s="3" t="s">
        <v>5641</v>
      </c>
      <c r="L49" s="8" t="str">
        <f>HYPERLINK("http://slimages.macys.com/is/image/MCY/2577876 ")</f>
        <v xml:space="preserve">http://slimages.macys.com/is/image/MCY/2577876 </v>
      </c>
    </row>
    <row r="50" spans="1:12" ht="24.75" x14ac:dyDescent="0.25">
      <c r="A50" s="6" t="s">
        <v>5350</v>
      </c>
      <c r="B50" s="3" t="s">
        <v>5351</v>
      </c>
      <c r="C50" s="4">
        <v>1</v>
      </c>
      <c r="D50" s="5">
        <v>60</v>
      </c>
      <c r="E50" s="4" t="s">
        <v>5352</v>
      </c>
      <c r="F50" s="3" t="s">
        <v>5803</v>
      </c>
      <c r="G50" s="7" t="s">
        <v>5598</v>
      </c>
      <c r="H50" s="3" t="s">
        <v>4379</v>
      </c>
      <c r="I50" s="3" t="s">
        <v>5296</v>
      </c>
      <c r="J50" s="3" t="s">
        <v>5536</v>
      </c>
      <c r="K50" s="3" t="s">
        <v>5353</v>
      </c>
      <c r="L50" s="8" t="str">
        <f>HYPERLINK("http://slimages.macys.com/is/image/MCY/14313647 ")</f>
        <v xml:space="preserve">http://slimages.macys.com/is/image/MCY/14313647 </v>
      </c>
    </row>
    <row r="51" spans="1:12" ht="24.75" x14ac:dyDescent="0.25">
      <c r="A51" s="6" t="s">
        <v>5354</v>
      </c>
      <c r="B51" s="3" t="s">
        <v>5725</v>
      </c>
      <c r="C51" s="4">
        <v>1</v>
      </c>
      <c r="D51" s="5">
        <v>60</v>
      </c>
      <c r="E51" s="4">
        <v>1345612</v>
      </c>
      <c r="F51" s="3" t="s">
        <v>5625</v>
      </c>
      <c r="G51" s="7" t="s">
        <v>5560</v>
      </c>
      <c r="H51" s="3" t="s">
        <v>5726</v>
      </c>
      <c r="I51" s="3" t="s">
        <v>5726</v>
      </c>
      <c r="J51" s="3" t="s">
        <v>5536</v>
      </c>
      <c r="K51" s="3" t="s">
        <v>5727</v>
      </c>
      <c r="L51" s="8" t="str">
        <f>HYPERLINK("http://slimages.macys.com/is/image/MCY/14465936 ")</f>
        <v xml:space="preserve">http://slimages.macys.com/is/image/MCY/14465936 </v>
      </c>
    </row>
    <row r="52" spans="1:12" ht="24.75" x14ac:dyDescent="0.25">
      <c r="A52" s="6" t="s">
        <v>5355</v>
      </c>
      <c r="B52" s="3" t="s">
        <v>5729</v>
      </c>
      <c r="C52" s="4">
        <v>1</v>
      </c>
      <c r="D52" s="5">
        <v>60</v>
      </c>
      <c r="E52" s="4">
        <v>1345611</v>
      </c>
      <c r="F52" s="3" t="s">
        <v>5532</v>
      </c>
      <c r="G52" s="7" t="s">
        <v>5596</v>
      </c>
      <c r="H52" s="3" t="s">
        <v>5726</v>
      </c>
      <c r="I52" s="3" t="s">
        <v>5726</v>
      </c>
      <c r="J52" s="3" t="s">
        <v>5536</v>
      </c>
      <c r="K52" s="3" t="s">
        <v>5727</v>
      </c>
      <c r="L52" s="8" t="str">
        <f>HYPERLINK("http://slimages.macys.com/is/image/MCY/14466020 ")</f>
        <v xml:space="preserve">http://slimages.macys.com/is/image/MCY/14466020 </v>
      </c>
    </row>
    <row r="53" spans="1:12" ht="24.75" x14ac:dyDescent="0.25">
      <c r="A53" s="6" t="s">
        <v>5356</v>
      </c>
      <c r="B53" s="3" t="s">
        <v>5725</v>
      </c>
      <c r="C53" s="4">
        <v>1</v>
      </c>
      <c r="D53" s="5">
        <v>60</v>
      </c>
      <c r="E53" s="4">
        <v>1345612</v>
      </c>
      <c r="F53" s="3" t="s">
        <v>5625</v>
      </c>
      <c r="G53" s="7" t="s">
        <v>5596</v>
      </c>
      <c r="H53" s="3" t="s">
        <v>5726</v>
      </c>
      <c r="I53" s="3" t="s">
        <v>5726</v>
      </c>
      <c r="J53" s="3" t="s">
        <v>5536</v>
      </c>
      <c r="K53" s="3" t="s">
        <v>5727</v>
      </c>
      <c r="L53" s="8" t="str">
        <f>HYPERLINK("http://slimages.macys.com/is/image/MCY/14465936 ")</f>
        <v xml:space="preserve">http://slimages.macys.com/is/image/MCY/14465936 </v>
      </c>
    </row>
    <row r="54" spans="1:12" ht="24.75" x14ac:dyDescent="0.25">
      <c r="A54" s="6" t="s">
        <v>5357</v>
      </c>
      <c r="B54" s="3" t="s">
        <v>5358</v>
      </c>
      <c r="C54" s="4">
        <v>4</v>
      </c>
      <c r="D54" s="5">
        <v>245</v>
      </c>
      <c r="E54" s="4" t="s">
        <v>5359</v>
      </c>
      <c r="F54" s="3" t="s">
        <v>5625</v>
      </c>
      <c r="G54" s="7" t="s">
        <v>5898</v>
      </c>
      <c r="H54" s="3" t="s">
        <v>6515</v>
      </c>
      <c r="I54" s="3" t="s">
        <v>6004</v>
      </c>
      <c r="J54" s="3" t="s">
        <v>5536</v>
      </c>
      <c r="K54" s="3" t="s">
        <v>5537</v>
      </c>
      <c r="L54" s="8" t="str">
        <f>HYPERLINK("http://slimages.macys.com/is/image/MCY/9982432 ")</f>
        <v xml:space="preserve">http://slimages.macys.com/is/image/MCY/9982432 </v>
      </c>
    </row>
    <row r="55" spans="1:12" x14ac:dyDescent="0.25">
      <c r="A55" s="6" t="s">
        <v>5360</v>
      </c>
      <c r="B55" s="3" t="s">
        <v>5361</v>
      </c>
      <c r="C55" s="4">
        <v>1</v>
      </c>
      <c r="D55" s="5">
        <v>55</v>
      </c>
      <c r="E55" s="4">
        <v>1801701</v>
      </c>
      <c r="F55" s="3" t="s">
        <v>5803</v>
      </c>
      <c r="G55" s="7"/>
      <c r="H55" s="3" t="s">
        <v>5929</v>
      </c>
      <c r="I55" s="3" t="s">
        <v>5930</v>
      </c>
      <c r="J55" s="3" t="s">
        <v>5536</v>
      </c>
      <c r="K55" s="3" t="s">
        <v>5800</v>
      </c>
      <c r="L55" s="8" t="str">
        <f>HYPERLINK("http://slimages.macys.com/is/image/MCY/13698434 ")</f>
        <v xml:space="preserve">http://slimages.macys.com/is/image/MCY/13698434 </v>
      </c>
    </row>
    <row r="56" spans="1:12" x14ac:dyDescent="0.25">
      <c r="A56" s="6" t="s">
        <v>5362</v>
      </c>
      <c r="B56" s="3" t="s">
        <v>5363</v>
      </c>
      <c r="C56" s="4">
        <v>1</v>
      </c>
      <c r="D56" s="5">
        <v>79.5</v>
      </c>
      <c r="E56" s="4" t="s">
        <v>5364</v>
      </c>
      <c r="F56" s="3" t="s">
        <v>5532</v>
      </c>
      <c r="G56" s="7" t="s">
        <v>5694</v>
      </c>
      <c r="H56" s="3" t="s">
        <v>5365</v>
      </c>
      <c r="I56" s="3" t="s">
        <v>5366</v>
      </c>
      <c r="J56" s="3" t="s">
        <v>5536</v>
      </c>
      <c r="K56" s="3" t="s">
        <v>5558</v>
      </c>
      <c r="L56" s="8" t="str">
        <f>HYPERLINK("http://slimages.macys.com/is/image/MCY/12259117 ")</f>
        <v xml:space="preserve">http://slimages.macys.com/is/image/MCY/12259117 </v>
      </c>
    </row>
    <row r="57" spans="1:12" ht="24.75" x14ac:dyDescent="0.25">
      <c r="A57" s="6" t="s">
        <v>5367</v>
      </c>
      <c r="B57" s="3" t="s">
        <v>5368</v>
      </c>
      <c r="C57" s="4">
        <v>1</v>
      </c>
      <c r="D57" s="5">
        <v>49.99</v>
      </c>
      <c r="E57" s="4">
        <v>1265648</v>
      </c>
      <c r="F57" s="3" t="s">
        <v>5625</v>
      </c>
      <c r="G57" s="7" t="s">
        <v>5533</v>
      </c>
      <c r="H57" s="3" t="s">
        <v>5726</v>
      </c>
      <c r="I57" s="3" t="s">
        <v>5726</v>
      </c>
      <c r="J57" s="3" t="s">
        <v>5536</v>
      </c>
      <c r="K57" s="3" t="s">
        <v>5369</v>
      </c>
      <c r="L57" s="8" t="str">
        <f>HYPERLINK("http://slimages.macys.com/is/image/MCY/3058662 ")</f>
        <v xml:space="preserve">http://slimages.macys.com/is/image/MCY/3058662 </v>
      </c>
    </row>
    <row r="58" spans="1:12" ht="24.75" x14ac:dyDescent="0.25">
      <c r="A58" s="6" t="s">
        <v>5370</v>
      </c>
      <c r="B58" s="3" t="s">
        <v>5371</v>
      </c>
      <c r="C58" s="4">
        <v>1</v>
      </c>
      <c r="D58" s="5">
        <v>78</v>
      </c>
      <c r="E58" s="4" t="s">
        <v>5372</v>
      </c>
      <c r="F58" s="3" t="s">
        <v>5540</v>
      </c>
      <c r="G58" s="7" t="s">
        <v>5898</v>
      </c>
      <c r="H58" s="3" t="s">
        <v>5842</v>
      </c>
      <c r="I58" s="3" t="s">
        <v>5373</v>
      </c>
      <c r="J58" s="3" t="s">
        <v>5536</v>
      </c>
      <c r="K58" s="3" t="s">
        <v>4559</v>
      </c>
      <c r="L58" s="8" t="str">
        <f>HYPERLINK("http://slimages.macys.com/is/image/MCY/9877532 ")</f>
        <v xml:space="preserve">http://slimages.macys.com/is/image/MCY/9877532 </v>
      </c>
    </row>
    <row r="59" spans="1:12" ht="24.75" x14ac:dyDescent="0.25">
      <c r="A59" s="6" t="s">
        <v>5374</v>
      </c>
      <c r="B59" s="3" t="s">
        <v>5375</v>
      </c>
      <c r="C59" s="4">
        <v>1</v>
      </c>
      <c r="D59" s="5">
        <v>65</v>
      </c>
      <c r="E59" s="4" t="s">
        <v>5376</v>
      </c>
      <c r="F59" s="3" t="s">
        <v>5532</v>
      </c>
      <c r="G59" s="7" t="s">
        <v>5596</v>
      </c>
      <c r="H59" s="3" t="s">
        <v>7152</v>
      </c>
      <c r="I59" s="3" t="s">
        <v>4039</v>
      </c>
      <c r="J59" s="3" t="s">
        <v>5536</v>
      </c>
      <c r="K59" s="3" t="s">
        <v>5377</v>
      </c>
      <c r="L59" s="8" t="str">
        <f>HYPERLINK("http://slimages.macys.com/is/image/MCY/15219232 ")</f>
        <v xml:space="preserve">http://slimages.macys.com/is/image/MCY/15219232 </v>
      </c>
    </row>
    <row r="60" spans="1:12" ht="24.75" x14ac:dyDescent="0.25">
      <c r="A60" s="6" t="s">
        <v>5378</v>
      </c>
      <c r="B60" s="3" t="s">
        <v>5379</v>
      </c>
      <c r="C60" s="4">
        <v>2</v>
      </c>
      <c r="D60" s="5">
        <v>159</v>
      </c>
      <c r="E60" s="4" t="s">
        <v>5380</v>
      </c>
      <c r="F60" s="3" t="s">
        <v>6217</v>
      </c>
      <c r="G60" s="7" t="s">
        <v>5662</v>
      </c>
      <c r="H60" s="3" t="s">
        <v>5617</v>
      </c>
      <c r="I60" s="3" t="s">
        <v>5618</v>
      </c>
      <c r="J60" s="3" t="s">
        <v>5536</v>
      </c>
      <c r="K60" s="3" t="s">
        <v>6021</v>
      </c>
      <c r="L60" s="8" t="str">
        <f>HYPERLINK("http://slimages.macys.com/is/image/MCY/9924266 ")</f>
        <v xml:space="preserve">http://slimages.macys.com/is/image/MCY/9924266 </v>
      </c>
    </row>
    <row r="61" spans="1:12" ht="24.75" x14ac:dyDescent="0.25">
      <c r="A61" s="6" t="s">
        <v>5381</v>
      </c>
      <c r="B61" s="3" t="s">
        <v>5382</v>
      </c>
      <c r="C61" s="4">
        <v>1</v>
      </c>
      <c r="D61" s="5">
        <v>79.5</v>
      </c>
      <c r="E61" s="4" t="s">
        <v>5383</v>
      </c>
      <c r="F61" s="3" t="s">
        <v>5532</v>
      </c>
      <c r="G61" s="7" t="s">
        <v>5629</v>
      </c>
      <c r="H61" s="3" t="s">
        <v>5617</v>
      </c>
      <c r="I61" s="3" t="s">
        <v>5618</v>
      </c>
      <c r="J61" s="3" t="s">
        <v>5536</v>
      </c>
      <c r="K61" s="3" t="s">
        <v>5558</v>
      </c>
      <c r="L61" s="8" t="str">
        <f>HYPERLINK("http://slimages.macys.com/is/image/MCY/13536293 ")</f>
        <v xml:space="preserve">http://slimages.macys.com/is/image/MCY/13536293 </v>
      </c>
    </row>
    <row r="62" spans="1:12" ht="24.75" x14ac:dyDescent="0.25">
      <c r="A62" s="6" t="s">
        <v>5384</v>
      </c>
      <c r="B62" s="3" t="s">
        <v>5385</v>
      </c>
      <c r="C62" s="4">
        <v>1</v>
      </c>
      <c r="D62" s="5">
        <v>55</v>
      </c>
      <c r="E62" s="4" t="s">
        <v>5386</v>
      </c>
      <c r="F62" s="3" t="s">
        <v>6271</v>
      </c>
      <c r="G62" s="7" t="s">
        <v>5596</v>
      </c>
      <c r="H62" s="3" t="s">
        <v>4379</v>
      </c>
      <c r="I62" s="3" t="s">
        <v>5296</v>
      </c>
      <c r="J62" s="3" t="s">
        <v>5536</v>
      </c>
      <c r="K62" s="3" t="s">
        <v>5574</v>
      </c>
      <c r="L62" s="8" t="str">
        <f>HYPERLINK("http://slimages.macys.com/is/image/MCY/13746862 ")</f>
        <v xml:space="preserve">http://slimages.macys.com/is/image/MCY/13746862 </v>
      </c>
    </row>
    <row r="63" spans="1:12" ht="24.75" x14ac:dyDescent="0.25">
      <c r="A63" s="6" t="s">
        <v>5387</v>
      </c>
      <c r="B63" s="3" t="s">
        <v>5388</v>
      </c>
      <c r="C63" s="4">
        <v>1</v>
      </c>
      <c r="D63" s="5">
        <v>55</v>
      </c>
      <c r="E63" s="4" t="s">
        <v>5389</v>
      </c>
      <c r="F63" s="3" t="s">
        <v>6275</v>
      </c>
      <c r="G63" s="7" t="s">
        <v>5598</v>
      </c>
      <c r="H63" s="3" t="s">
        <v>4379</v>
      </c>
      <c r="I63" s="3" t="s">
        <v>5296</v>
      </c>
      <c r="J63" s="3" t="s">
        <v>5536</v>
      </c>
      <c r="K63" s="3" t="s">
        <v>5574</v>
      </c>
      <c r="L63" s="8" t="str">
        <f>HYPERLINK("http://slimages.macys.com/is/image/MCY/13746822 ")</f>
        <v xml:space="preserve">http://slimages.macys.com/is/image/MCY/13746822 </v>
      </c>
    </row>
    <row r="64" spans="1:12" ht="24.75" x14ac:dyDescent="0.25">
      <c r="A64" s="6" t="s">
        <v>5390</v>
      </c>
      <c r="B64" s="3" t="s">
        <v>5385</v>
      </c>
      <c r="C64" s="4">
        <v>1</v>
      </c>
      <c r="D64" s="5">
        <v>55</v>
      </c>
      <c r="E64" s="4" t="s">
        <v>5386</v>
      </c>
      <c r="F64" s="3" t="s">
        <v>6271</v>
      </c>
      <c r="G64" s="7" t="s">
        <v>5562</v>
      </c>
      <c r="H64" s="3" t="s">
        <v>4379</v>
      </c>
      <c r="I64" s="3" t="s">
        <v>5296</v>
      </c>
      <c r="J64" s="3" t="s">
        <v>5536</v>
      </c>
      <c r="K64" s="3" t="s">
        <v>5574</v>
      </c>
      <c r="L64" s="8" t="str">
        <f>HYPERLINK("http://slimages.macys.com/is/image/MCY/13746862 ")</f>
        <v xml:space="preserve">http://slimages.macys.com/is/image/MCY/13746862 </v>
      </c>
    </row>
    <row r="65" spans="1:12" ht="24.75" x14ac:dyDescent="0.25">
      <c r="A65" s="6" t="s">
        <v>5391</v>
      </c>
      <c r="B65" s="3" t="s">
        <v>5392</v>
      </c>
      <c r="C65" s="4">
        <v>1</v>
      </c>
      <c r="D65" s="5">
        <v>66.989999999999995</v>
      </c>
      <c r="E65" s="4" t="s">
        <v>5393</v>
      </c>
      <c r="F65" s="3" t="s">
        <v>5552</v>
      </c>
      <c r="G65" s="7"/>
      <c r="H65" s="3" t="s">
        <v>5722</v>
      </c>
      <c r="I65" s="3" t="s">
        <v>5756</v>
      </c>
      <c r="J65" s="3" t="s">
        <v>5536</v>
      </c>
      <c r="K65" s="3" t="s">
        <v>5558</v>
      </c>
      <c r="L65" s="8" t="str">
        <f>HYPERLINK("http://slimages.macys.com/is/image/MCY/15666311 ")</f>
        <v xml:space="preserve">http://slimages.macys.com/is/image/MCY/15666311 </v>
      </c>
    </row>
    <row r="66" spans="1:12" ht="24.75" x14ac:dyDescent="0.25">
      <c r="A66" s="6" t="s">
        <v>5394</v>
      </c>
      <c r="B66" s="3" t="s">
        <v>5395</v>
      </c>
      <c r="C66" s="4">
        <v>3</v>
      </c>
      <c r="D66" s="5">
        <v>200.97</v>
      </c>
      <c r="E66" s="4" t="s">
        <v>5396</v>
      </c>
      <c r="F66" s="3" t="s">
        <v>5849</v>
      </c>
      <c r="G66" s="7" t="s">
        <v>6025</v>
      </c>
      <c r="H66" s="3" t="s">
        <v>5722</v>
      </c>
      <c r="I66" s="3" t="s">
        <v>5756</v>
      </c>
      <c r="J66" s="3" t="s">
        <v>5536</v>
      </c>
      <c r="K66" s="3" t="s">
        <v>5558</v>
      </c>
      <c r="L66" s="8" t="str">
        <f>HYPERLINK("http://slimages.macys.com/is/image/MCY/15848741 ")</f>
        <v xml:space="preserve">http://slimages.macys.com/is/image/MCY/15848741 </v>
      </c>
    </row>
    <row r="67" spans="1:12" ht="24.75" x14ac:dyDescent="0.25">
      <c r="A67" s="6" t="s">
        <v>5397</v>
      </c>
      <c r="B67" s="3" t="s">
        <v>5392</v>
      </c>
      <c r="C67" s="4">
        <v>1</v>
      </c>
      <c r="D67" s="5">
        <v>66.989999999999995</v>
      </c>
      <c r="E67" s="4" t="s">
        <v>5393</v>
      </c>
      <c r="F67" s="3" t="s">
        <v>5552</v>
      </c>
      <c r="G67" s="7" t="s">
        <v>6476</v>
      </c>
      <c r="H67" s="3" t="s">
        <v>5722</v>
      </c>
      <c r="I67" s="3" t="s">
        <v>5756</v>
      </c>
      <c r="J67" s="3" t="s">
        <v>5536</v>
      </c>
      <c r="K67" s="3" t="s">
        <v>5558</v>
      </c>
      <c r="L67" s="8" t="str">
        <f>HYPERLINK("http://slimages.macys.com/is/image/MCY/15666311 ")</f>
        <v xml:space="preserve">http://slimages.macys.com/is/image/MCY/15666311 </v>
      </c>
    </row>
    <row r="68" spans="1:12" ht="24.75" x14ac:dyDescent="0.25">
      <c r="A68" s="6" t="s">
        <v>5398</v>
      </c>
      <c r="B68" s="3" t="s">
        <v>5392</v>
      </c>
      <c r="C68" s="4">
        <v>1</v>
      </c>
      <c r="D68" s="5">
        <v>66.989999999999995</v>
      </c>
      <c r="E68" s="4" t="s">
        <v>5393</v>
      </c>
      <c r="F68" s="3" t="s">
        <v>5552</v>
      </c>
      <c r="G68" s="7" t="s">
        <v>6025</v>
      </c>
      <c r="H68" s="3" t="s">
        <v>5722</v>
      </c>
      <c r="I68" s="3" t="s">
        <v>5756</v>
      </c>
      <c r="J68" s="3" t="s">
        <v>5536</v>
      </c>
      <c r="K68" s="3" t="s">
        <v>5558</v>
      </c>
      <c r="L68" s="8" t="str">
        <f>HYPERLINK("http://slimages.macys.com/is/image/MCY/15666311 ")</f>
        <v xml:space="preserve">http://slimages.macys.com/is/image/MCY/15666311 </v>
      </c>
    </row>
    <row r="69" spans="1:12" ht="24.75" x14ac:dyDescent="0.25">
      <c r="A69" s="6" t="s">
        <v>5399</v>
      </c>
      <c r="B69" s="3" t="s">
        <v>5395</v>
      </c>
      <c r="C69" s="4">
        <v>1</v>
      </c>
      <c r="D69" s="5">
        <v>66.989999999999995</v>
      </c>
      <c r="E69" s="4" t="s">
        <v>5396</v>
      </c>
      <c r="F69" s="3" t="s">
        <v>5849</v>
      </c>
      <c r="G69" s="7" t="s">
        <v>5777</v>
      </c>
      <c r="H69" s="3" t="s">
        <v>5722</v>
      </c>
      <c r="I69" s="3" t="s">
        <v>5756</v>
      </c>
      <c r="J69" s="3" t="s">
        <v>5536</v>
      </c>
      <c r="K69" s="3" t="s">
        <v>5558</v>
      </c>
      <c r="L69" s="8" t="str">
        <f>HYPERLINK("http://slimages.macys.com/is/image/MCY/15848741 ")</f>
        <v xml:space="preserve">http://slimages.macys.com/is/image/MCY/15848741 </v>
      </c>
    </row>
    <row r="70" spans="1:12" ht="24.75" x14ac:dyDescent="0.25">
      <c r="A70" s="6" t="s">
        <v>5400</v>
      </c>
      <c r="B70" s="3" t="s">
        <v>5395</v>
      </c>
      <c r="C70" s="4">
        <v>1</v>
      </c>
      <c r="D70" s="5">
        <v>66.989999999999995</v>
      </c>
      <c r="E70" s="4" t="s">
        <v>5396</v>
      </c>
      <c r="F70" s="3" t="s">
        <v>5849</v>
      </c>
      <c r="G70" s="7" t="s">
        <v>5816</v>
      </c>
      <c r="H70" s="3" t="s">
        <v>5722</v>
      </c>
      <c r="I70" s="3" t="s">
        <v>5756</v>
      </c>
      <c r="J70" s="3" t="s">
        <v>5536</v>
      </c>
      <c r="K70" s="3" t="s">
        <v>5558</v>
      </c>
      <c r="L70" s="8" t="str">
        <f>HYPERLINK("http://slimages.macys.com/is/image/MCY/15848741 ")</f>
        <v xml:space="preserve">http://slimages.macys.com/is/image/MCY/15848741 </v>
      </c>
    </row>
    <row r="71" spans="1:12" ht="24.75" x14ac:dyDescent="0.25">
      <c r="A71" s="6" t="s">
        <v>5401</v>
      </c>
      <c r="B71" s="3" t="s">
        <v>5395</v>
      </c>
      <c r="C71" s="4">
        <v>1</v>
      </c>
      <c r="D71" s="5">
        <v>66.989999999999995</v>
      </c>
      <c r="E71" s="4" t="s">
        <v>5396</v>
      </c>
      <c r="F71" s="3" t="s">
        <v>5849</v>
      </c>
      <c r="G71" s="7" t="s">
        <v>6476</v>
      </c>
      <c r="H71" s="3" t="s">
        <v>5722</v>
      </c>
      <c r="I71" s="3" t="s">
        <v>5756</v>
      </c>
      <c r="J71" s="3" t="s">
        <v>5536</v>
      </c>
      <c r="K71" s="3" t="s">
        <v>5558</v>
      </c>
      <c r="L71" s="8" t="str">
        <f>HYPERLINK("http://slimages.macys.com/is/image/MCY/15848741 ")</f>
        <v xml:space="preserve">http://slimages.macys.com/is/image/MCY/15848741 </v>
      </c>
    </row>
    <row r="72" spans="1:12" ht="24.75" x14ac:dyDescent="0.25">
      <c r="A72" s="6" t="s">
        <v>5402</v>
      </c>
      <c r="B72" s="3" t="s">
        <v>5392</v>
      </c>
      <c r="C72" s="4">
        <v>3</v>
      </c>
      <c r="D72" s="5">
        <v>200.97</v>
      </c>
      <c r="E72" s="4" t="s">
        <v>5393</v>
      </c>
      <c r="F72" s="3" t="s">
        <v>5552</v>
      </c>
      <c r="G72" s="7" t="s">
        <v>5824</v>
      </c>
      <c r="H72" s="3" t="s">
        <v>5722</v>
      </c>
      <c r="I72" s="3" t="s">
        <v>5756</v>
      </c>
      <c r="J72" s="3" t="s">
        <v>5536</v>
      </c>
      <c r="K72" s="3" t="s">
        <v>5558</v>
      </c>
      <c r="L72" s="8" t="str">
        <f>HYPERLINK("http://slimages.macys.com/is/image/MCY/15666311 ")</f>
        <v xml:space="preserve">http://slimages.macys.com/is/image/MCY/15666311 </v>
      </c>
    </row>
    <row r="73" spans="1:12" ht="24.75" x14ac:dyDescent="0.25">
      <c r="A73" s="6" t="s">
        <v>5403</v>
      </c>
      <c r="B73" s="3" t="s">
        <v>5404</v>
      </c>
      <c r="C73" s="4">
        <v>1</v>
      </c>
      <c r="D73" s="5">
        <v>55</v>
      </c>
      <c r="E73" s="4" t="s">
        <v>5405</v>
      </c>
      <c r="F73" s="3" t="s">
        <v>6275</v>
      </c>
      <c r="G73" s="7" t="s">
        <v>5596</v>
      </c>
      <c r="H73" s="3" t="s">
        <v>4819</v>
      </c>
      <c r="I73" s="3" t="s">
        <v>4820</v>
      </c>
      <c r="J73" s="3" t="s">
        <v>5536</v>
      </c>
      <c r="K73" s="3" t="s">
        <v>5727</v>
      </c>
      <c r="L73" s="8" t="str">
        <f>HYPERLINK("http://slimages.macys.com/is/image/MCY/14723367 ")</f>
        <v xml:space="preserve">http://slimages.macys.com/is/image/MCY/14723367 </v>
      </c>
    </row>
    <row r="74" spans="1:12" ht="24.75" x14ac:dyDescent="0.25">
      <c r="A74" s="6" t="s">
        <v>5406</v>
      </c>
      <c r="B74" s="3" t="s">
        <v>5407</v>
      </c>
      <c r="C74" s="4">
        <v>1</v>
      </c>
      <c r="D74" s="5">
        <v>49.99</v>
      </c>
      <c r="E74" s="4">
        <v>45054891</v>
      </c>
      <c r="F74" s="3" t="s">
        <v>5532</v>
      </c>
      <c r="G74" s="7" t="s">
        <v>5408</v>
      </c>
      <c r="H74" s="3" t="s">
        <v>5789</v>
      </c>
      <c r="I74" s="3" t="s">
        <v>5607</v>
      </c>
      <c r="J74" s="3" t="s">
        <v>5536</v>
      </c>
      <c r="K74" s="3" t="s">
        <v>5594</v>
      </c>
      <c r="L74" s="8" t="str">
        <f>HYPERLINK("http://slimages.macys.com/is/image/MCY/14427135 ")</f>
        <v xml:space="preserve">http://slimages.macys.com/is/image/MCY/14427135 </v>
      </c>
    </row>
    <row r="75" spans="1:12" x14ac:dyDescent="0.25">
      <c r="A75" s="6" t="s">
        <v>5409</v>
      </c>
      <c r="B75" s="3" t="s">
        <v>5410</v>
      </c>
      <c r="C75" s="4">
        <v>1</v>
      </c>
      <c r="D75" s="5">
        <v>50</v>
      </c>
      <c r="E75" s="4">
        <v>860469</v>
      </c>
      <c r="F75" s="3" t="s">
        <v>5803</v>
      </c>
      <c r="G75" s="7" t="s">
        <v>5596</v>
      </c>
      <c r="H75" s="3" t="s">
        <v>4379</v>
      </c>
      <c r="I75" s="3" t="s">
        <v>5296</v>
      </c>
      <c r="J75" s="3" t="s">
        <v>5536</v>
      </c>
      <c r="K75" s="3" t="s">
        <v>5727</v>
      </c>
      <c r="L75" s="8" t="str">
        <f>HYPERLINK("http://slimages.macys.com/is/image/MCY/13893573 ")</f>
        <v xml:space="preserve">http://slimages.macys.com/is/image/MCY/13893573 </v>
      </c>
    </row>
    <row r="76" spans="1:12" ht="24.75" x14ac:dyDescent="0.25">
      <c r="A76" s="6" t="s">
        <v>5411</v>
      </c>
      <c r="B76" s="3" t="s">
        <v>5412</v>
      </c>
      <c r="C76" s="4">
        <v>1</v>
      </c>
      <c r="D76" s="5">
        <v>59</v>
      </c>
      <c r="E76" s="4" t="s">
        <v>5413</v>
      </c>
      <c r="F76" s="3" t="s">
        <v>5532</v>
      </c>
      <c r="G76" s="7" t="s">
        <v>5598</v>
      </c>
      <c r="H76" s="3" t="s">
        <v>6794</v>
      </c>
      <c r="I76" s="3" t="s">
        <v>4712</v>
      </c>
      <c r="J76" s="3" t="s">
        <v>5536</v>
      </c>
      <c r="K76" s="3" t="s">
        <v>5574</v>
      </c>
      <c r="L76" s="8" t="str">
        <f>HYPERLINK("http://slimages.macys.com/is/image/MCY/14524329 ")</f>
        <v xml:space="preserve">http://slimages.macys.com/is/image/MCY/14524329 </v>
      </c>
    </row>
    <row r="77" spans="1:12" ht="24.75" x14ac:dyDescent="0.25">
      <c r="A77" s="6" t="s">
        <v>5414</v>
      </c>
      <c r="B77" s="3" t="s">
        <v>4714</v>
      </c>
      <c r="C77" s="4">
        <v>1</v>
      </c>
      <c r="D77" s="5">
        <v>59</v>
      </c>
      <c r="E77" s="4" t="s">
        <v>4715</v>
      </c>
      <c r="F77" s="3" t="s">
        <v>5540</v>
      </c>
      <c r="G77" s="7" t="s">
        <v>5596</v>
      </c>
      <c r="H77" s="3" t="s">
        <v>6794</v>
      </c>
      <c r="I77" s="3" t="s">
        <v>4712</v>
      </c>
      <c r="J77" s="3" t="s">
        <v>5536</v>
      </c>
      <c r="K77" s="3" t="s">
        <v>5574</v>
      </c>
      <c r="L77" s="8" t="str">
        <f>HYPERLINK("http://slimages.macys.com/is/image/MCY/14365711 ")</f>
        <v xml:space="preserve">http://slimages.macys.com/is/image/MCY/14365711 </v>
      </c>
    </row>
    <row r="78" spans="1:12" ht="24.75" x14ac:dyDescent="0.25">
      <c r="A78" s="6" t="s">
        <v>5415</v>
      </c>
      <c r="B78" s="3" t="s">
        <v>5416</v>
      </c>
      <c r="C78" s="4">
        <v>1</v>
      </c>
      <c r="D78" s="5">
        <v>59</v>
      </c>
      <c r="E78" s="4" t="s">
        <v>5417</v>
      </c>
      <c r="F78" s="3" t="s">
        <v>5540</v>
      </c>
      <c r="G78" s="7" t="s">
        <v>5596</v>
      </c>
      <c r="H78" s="3" t="s">
        <v>6794</v>
      </c>
      <c r="I78" s="3" t="s">
        <v>4712</v>
      </c>
      <c r="J78" s="3" t="s">
        <v>5536</v>
      </c>
      <c r="K78" s="3" t="s">
        <v>5574</v>
      </c>
      <c r="L78" s="8" t="str">
        <f>HYPERLINK("http://slimages.macys.com/is/image/MCY/14716733 ")</f>
        <v xml:space="preserve">http://slimages.macys.com/is/image/MCY/14716733 </v>
      </c>
    </row>
    <row r="79" spans="1:12" ht="24.75" x14ac:dyDescent="0.25">
      <c r="A79" s="6" t="s">
        <v>5418</v>
      </c>
      <c r="B79" s="3" t="s">
        <v>5412</v>
      </c>
      <c r="C79" s="4">
        <v>1</v>
      </c>
      <c r="D79" s="5">
        <v>59</v>
      </c>
      <c r="E79" s="4" t="s">
        <v>5413</v>
      </c>
      <c r="F79" s="3" t="s">
        <v>5540</v>
      </c>
      <c r="G79" s="7" t="s">
        <v>5598</v>
      </c>
      <c r="H79" s="3" t="s">
        <v>6794</v>
      </c>
      <c r="I79" s="3" t="s">
        <v>4712</v>
      </c>
      <c r="J79" s="3" t="s">
        <v>5536</v>
      </c>
      <c r="K79" s="3" t="s">
        <v>5574</v>
      </c>
      <c r="L79" s="8" t="str">
        <f>HYPERLINK("http://slimages.macys.com/is/image/MCY/14524329 ")</f>
        <v xml:space="preserve">http://slimages.macys.com/is/image/MCY/14524329 </v>
      </c>
    </row>
    <row r="80" spans="1:12" ht="36.75" x14ac:dyDescent="0.25">
      <c r="A80" s="6" t="s">
        <v>5419</v>
      </c>
      <c r="B80" s="3" t="s">
        <v>5420</v>
      </c>
      <c r="C80" s="4">
        <v>1</v>
      </c>
      <c r="D80" s="5">
        <v>55</v>
      </c>
      <c r="E80" s="4" t="s">
        <v>5421</v>
      </c>
      <c r="F80" s="3" t="s">
        <v>6146</v>
      </c>
      <c r="G80" s="7" t="s">
        <v>5596</v>
      </c>
      <c r="H80" s="3" t="s">
        <v>7171</v>
      </c>
      <c r="I80" s="3" t="s">
        <v>5422</v>
      </c>
      <c r="J80" s="3" t="s">
        <v>5536</v>
      </c>
      <c r="K80" s="3" t="s">
        <v>5423</v>
      </c>
      <c r="L80" s="8" t="str">
        <f>HYPERLINK("http://slimages.macys.com/is/image/MCY/12817648 ")</f>
        <v xml:space="preserve">http://slimages.macys.com/is/image/MCY/12817648 </v>
      </c>
    </row>
    <row r="81" spans="1:12" ht="24.75" x14ac:dyDescent="0.25">
      <c r="A81" s="6" t="s">
        <v>5424</v>
      </c>
      <c r="B81" s="3" t="s">
        <v>5425</v>
      </c>
      <c r="C81" s="4">
        <v>1</v>
      </c>
      <c r="D81" s="5">
        <v>56.5</v>
      </c>
      <c r="E81" s="4" t="s">
        <v>5426</v>
      </c>
      <c r="F81" s="3" t="s">
        <v>5532</v>
      </c>
      <c r="G81" s="7" t="s">
        <v>5705</v>
      </c>
      <c r="H81" s="3" t="s">
        <v>4611</v>
      </c>
      <c r="I81" s="3" t="s">
        <v>5265</v>
      </c>
      <c r="J81" s="3" t="s">
        <v>5536</v>
      </c>
      <c r="K81" s="3" t="s">
        <v>5427</v>
      </c>
      <c r="L81" s="8" t="str">
        <f>HYPERLINK("http://slimages.macys.com/is/image/MCY/14355318 ")</f>
        <v xml:space="preserve">http://slimages.macys.com/is/image/MCY/14355318 </v>
      </c>
    </row>
    <row r="82" spans="1:12" ht="24.75" x14ac:dyDescent="0.25">
      <c r="A82" s="6" t="s">
        <v>5428</v>
      </c>
      <c r="B82" s="3" t="s">
        <v>5429</v>
      </c>
      <c r="C82" s="4">
        <v>1</v>
      </c>
      <c r="D82" s="5">
        <v>55</v>
      </c>
      <c r="E82" s="4" t="s">
        <v>5430</v>
      </c>
      <c r="F82" s="3" t="s">
        <v>5540</v>
      </c>
      <c r="G82" s="7" t="s">
        <v>5560</v>
      </c>
      <c r="H82" s="3" t="s">
        <v>4819</v>
      </c>
      <c r="I82" s="3" t="s">
        <v>4820</v>
      </c>
      <c r="J82" s="3" t="s">
        <v>5536</v>
      </c>
      <c r="K82" s="3" t="s">
        <v>5727</v>
      </c>
      <c r="L82" s="8" t="str">
        <f>HYPERLINK("http://slimages.macys.com/is/image/MCY/13863165 ")</f>
        <v xml:space="preserve">http://slimages.macys.com/is/image/MCY/13863165 </v>
      </c>
    </row>
    <row r="83" spans="1:12" ht="24.75" x14ac:dyDescent="0.25">
      <c r="A83" s="6" t="s">
        <v>5431</v>
      </c>
      <c r="B83" s="3" t="s">
        <v>5432</v>
      </c>
      <c r="C83" s="4">
        <v>1</v>
      </c>
      <c r="D83" s="5">
        <v>55</v>
      </c>
      <c r="E83" s="4" t="s">
        <v>5433</v>
      </c>
      <c r="F83" s="3" t="s">
        <v>5540</v>
      </c>
      <c r="G83" s="7" t="s">
        <v>5533</v>
      </c>
      <c r="H83" s="3" t="s">
        <v>4819</v>
      </c>
      <c r="I83" s="3" t="s">
        <v>4820</v>
      </c>
      <c r="J83" s="3" t="s">
        <v>5536</v>
      </c>
      <c r="K83" s="3" t="s">
        <v>5727</v>
      </c>
      <c r="L83" s="8" t="str">
        <f>HYPERLINK("http://slimages.macys.com/is/image/MCY/13863157 ")</f>
        <v xml:space="preserve">http://slimages.macys.com/is/image/MCY/13863157 </v>
      </c>
    </row>
    <row r="84" spans="1:12" ht="24.75" x14ac:dyDescent="0.25">
      <c r="A84" s="6" t="s">
        <v>5434</v>
      </c>
      <c r="B84" s="3" t="s">
        <v>5435</v>
      </c>
      <c r="C84" s="4">
        <v>1</v>
      </c>
      <c r="D84" s="5">
        <v>55</v>
      </c>
      <c r="E84" s="4" t="s">
        <v>5436</v>
      </c>
      <c r="F84" s="3" t="s">
        <v>5578</v>
      </c>
      <c r="G84" s="7" t="s">
        <v>5562</v>
      </c>
      <c r="H84" s="3" t="s">
        <v>4819</v>
      </c>
      <c r="I84" s="3" t="s">
        <v>4820</v>
      </c>
      <c r="J84" s="3" t="s">
        <v>5536</v>
      </c>
      <c r="K84" s="3" t="s">
        <v>5727</v>
      </c>
      <c r="L84" s="8" t="str">
        <f>HYPERLINK("http://slimages.macys.com/is/image/MCY/13862831 ")</f>
        <v xml:space="preserve">http://slimages.macys.com/is/image/MCY/13862831 </v>
      </c>
    </row>
    <row r="85" spans="1:12" ht="24.75" x14ac:dyDescent="0.25">
      <c r="A85" s="6" t="s">
        <v>5437</v>
      </c>
      <c r="B85" s="3" t="s">
        <v>5438</v>
      </c>
      <c r="C85" s="4">
        <v>2</v>
      </c>
      <c r="D85" s="5">
        <v>110</v>
      </c>
      <c r="E85" s="4" t="s">
        <v>5439</v>
      </c>
      <c r="F85" s="3" t="s">
        <v>5820</v>
      </c>
      <c r="G85" s="7" t="s">
        <v>5560</v>
      </c>
      <c r="H85" s="3" t="s">
        <v>4819</v>
      </c>
      <c r="I85" s="3" t="s">
        <v>4820</v>
      </c>
      <c r="J85" s="3" t="s">
        <v>5536</v>
      </c>
      <c r="K85" s="3" t="s">
        <v>5727</v>
      </c>
      <c r="L85" s="8" t="str">
        <f>HYPERLINK("http://slimages.macys.com/is/image/MCY/13863164 ")</f>
        <v xml:space="preserve">http://slimages.macys.com/is/image/MCY/13863164 </v>
      </c>
    </row>
    <row r="86" spans="1:12" ht="24.75" x14ac:dyDescent="0.25">
      <c r="A86" s="6" t="s">
        <v>5440</v>
      </c>
      <c r="B86" s="3" t="s">
        <v>5432</v>
      </c>
      <c r="C86" s="4">
        <v>1</v>
      </c>
      <c r="D86" s="5">
        <v>55</v>
      </c>
      <c r="E86" s="4" t="s">
        <v>5433</v>
      </c>
      <c r="F86" s="3" t="s">
        <v>5540</v>
      </c>
      <c r="G86" s="7" t="s">
        <v>5598</v>
      </c>
      <c r="H86" s="3" t="s">
        <v>4819</v>
      </c>
      <c r="I86" s="3" t="s">
        <v>4820</v>
      </c>
      <c r="J86" s="3" t="s">
        <v>5536</v>
      </c>
      <c r="K86" s="3" t="s">
        <v>5727</v>
      </c>
      <c r="L86" s="8" t="str">
        <f>HYPERLINK("http://slimages.macys.com/is/image/MCY/13863157 ")</f>
        <v xml:space="preserve">http://slimages.macys.com/is/image/MCY/13863157 </v>
      </c>
    </row>
    <row r="87" spans="1:12" ht="24.75" x14ac:dyDescent="0.25">
      <c r="A87" s="6" t="s">
        <v>5441</v>
      </c>
      <c r="B87" s="3" t="s">
        <v>5442</v>
      </c>
      <c r="C87" s="4">
        <v>1</v>
      </c>
      <c r="D87" s="5">
        <v>55</v>
      </c>
      <c r="E87" s="4" t="s">
        <v>5443</v>
      </c>
      <c r="F87" s="3"/>
      <c r="G87" s="7" t="s">
        <v>5596</v>
      </c>
      <c r="H87" s="3" t="s">
        <v>4819</v>
      </c>
      <c r="I87" s="3" t="s">
        <v>4820</v>
      </c>
      <c r="J87" s="3" t="s">
        <v>5536</v>
      </c>
      <c r="K87" s="3" t="s">
        <v>5727</v>
      </c>
      <c r="L87" s="8" t="str">
        <f>HYPERLINK("http://slimages.macys.com/is/image/MCY/9756763 ")</f>
        <v xml:space="preserve">http://slimages.macys.com/is/image/MCY/9756763 </v>
      </c>
    </row>
    <row r="88" spans="1:12" ht="24.75" x14ac:dyDescent="0.25">
      <c r="A88" s="6" t="s">
        <v>5444</v>
      </c>
      <c r="B88" s="3" t="s">
        <v>5445</v>
      </c>
      <c r="C88" s="4">
        <v>2</v>
      </c>
      <c r="D88" s="5">
        <v>110</v>
      </c>
      <c r="E88" s="4" t="s">
        <v>5446</v>
      </c>
      <c r="F88" s="3" t="s">
        <v>5578</v>
      </c>
      <c r="G88" s="7" t="s">
        <v>5560</v>
      </c>
      <c r="H88" s="3" t="s">
        <v>4819</v>
      </c>
      <c r="I88" s="3" t="s">
        <v>4820</v>
      </c>
      <c r="J88" s="3" t="s">
        <v>5536</v>
      </c>
      <c r="K88" s="3" t="s">
        <v>5727</v>
      </c>
      <c r="L88" s="8" t="str">
        <f>HYPERLINK("http://slimages.macys.com/is/image/MCY/13863165 ")</f>
        <v xml:space="preserve">http://slimages.macys.com/is/image/MCY/13863165 </v>
      </c>
    </row>
    <row r="89" spans="1:12" ht="24.75" x14ac:dyDescent="0.25">
      <c r="A89" s="6" t="s">
        <v>5447</v>
      </c>
      <c r="B89" s="3" t="s">
        <v>5442</v>
      </c>
      <c r="C89" s="4">
        <v>1</v>
      </c>
      <c r="D89" s="5">
        <v>55</v>
      </c>
      <c r="E89" s="4" t="s">
        <v>5448</v>
      </c>
      <c r="F89" s="3"/>
      <c r="G89" s="7" t="s">
        <v>5562</v>
      </c>
      <c r="H89" s="3" t="s">
        <v>4819</v>
      </c>
      <c r="I89" s="3" t="s">
        <v>4820</v>
      </c>
      <c r="J89" s="3" t="s">
        <v>5536</v>
      </c>
      <c r="K89" s="3" t="s">
        <v>5727</v>
      </c>
      <c r="L89" s="8" t="str">
        <f>HYPERLINK("http://slimages.macys.com/is/image/MCY/9756763 ")</f>
        <v xml:space="preserve">http://slimages.macys.com/is/image/MCY/9756763 </v>
      </c>
    </row>
    <row r="90" spans="1:12" ht="36.75" x14ac:dyDescent="0.25">
      <c r="A90" s="6" t="s">
        <v>5449</v>
      </c>
      <c r="B90" s="3" t="s">
        <v>5319</v>
      </c>
      <c r="C90" s="4">
        <v>1</v>
      </c>
      <c r="D90" s="5">
        <v>75</v>
      </c>
      <c r="E90" s="4" t="s">
        <v>5450</v>
      </c>
      <c r="F90" s="3" t="s">
        <v>6075</v>
      </c>
      <c r="G90" s="7" t="s">
        <v>5533</v>
      </c>
      <c r="H90" s="3" t="s">
        <v>7099</v>
      </c>
      <c r="I90" s="3" t="s">
        <v>5934</v>
      </c>
      <c r="J90" s="3" t="s">
        <v>5536</v>
      </c>
      <c r="K90" s="3" t="s">
        <v>7038</v>
      </c>
      <c r="L90" s="8" t="str">
        <f>HYPERLINK("http://slimages.macys.com/is/image/MCY/14351268 ")</f>
        <v xml:space="preserve">http://slimages.macys.com/is/image/MCY/14351268 </v>
      </c>
    </row>
    <row r="91" spans="1:12" ht="36.75" x14ac:dyDescent="0.25">
      <c r="A91" s="6" t="s">
        <v>5451</v>
      </c>
      <c r="B91" s="3" t="s">
        <v>5452</v>
      </c>
      <c r="C91" s="4">
        <v>1</v>
      </c>
      <c r="D91" s="5">
        <v>65</v>
      </c>
      <c r="E91" s="4" t="s">
        <v>5453</v>
      </c>
      <c r="F91" s="3" t="s">
        <v>5820</v>
      </c>
      <c r="G91" s="7" t="s">
        <v>5562</v>
      </c>
      <c r="H91" s="3" t="s">
        <v>7099</v>
      </c>
      <c r="I91" s="3" t="s">
        <v>5934</v>
      </c>
      <c r="J91" s="3" t="s">
        <v>5536</v>
      </c>
      <c r="K91" s="3" t="s">
        <v>7038</v>
      </c>
      <c r="L91" s="8" t="str">
        <f>HYPERLINK("http://slimages.macys.com/is/image/MCY/13698727 ")</f>
        <v xml:space="preserve">http://slimages.macys.com/is/image/MCY/13698727 </v>
      </c>
    </row>
    <row r="92" spans="1:12" ht="24.75" x14ac:dyDescent="0.25">
      <c r="A92" s="6" t="s">
        <v>5454</v>
      </c>
      <c r="B92" s="3" t="s">
        <v>5810</v>
      </c>
      <c r="C92" s="4">
        <v>1</v>
      </c>
      <c r="D92" s="5">
        <v>69.5</v>
      </c>
      <c r="E92" s="4">
        <v>100038288</v>
      </c>
      <c r="F92" s="3" t="s">
        <v>5811</v>
      </c>
      <c r="G92" s="7" t="s">
        <v>5656</v>
      </c>
      <c r="H92" s="3" t="s">
        <v>5585</v>
      </c>
      <c r="I92" s="3" t="s">
        <v>5586</v>
      </c>
      <c r="J92" s="3" t="s">
        <v>5536</v>
      </c>
      <c r="K92" s="3" t="s">
        <v>5727</v>
      </c>
      <c r="L92" s="8" t="str">
        <f t="shared" ref="L92:L97" si="0">HYPERLINK("http://slimages.macys.com/is/image/MCY/11231691 ")</f>
        <v xml:space="preserve">http://slimages.macys.com/is/image/MCY/11231691 </v>
      </c>
    </row>
    <row r="93" spans="1:12" ht="24.75" x14ac:dyDescent="0.25">
      <c r="A93" s="6" t="s">
        <v>5455</v>
      </c>
      <c r="B93" s="3" t="s">
        <v>5810</v>
      </c>
      <c r="C93" s="4">
        <v>1</v>
      </c>
      <c r="D93" s="5">
        <v>69.5</v>
      </c>
      <c r="E93" s="4">
        <v>100038288</v>
      </c>
      <c r="F93" s="3" t="s">
        <v>5811</v>
      </c>
      <c r="G93" s="7" t="s">
        <v>5567</v>
      </c>
      <c r="H93" s="3" t="s">
        <v>5585</v>
      </c>
      <c r="I93" s="3" t="s">
        <v>5586</v>
      </c>
      <c r="J93" s="3" t="s">
        <v>5536</v>
      </c>
      <c r="K93" s="3" t="s">
        <v>5727</v>
      </c>
      <c r="L93" s="8" t="str">
        <f t="shared" si="0"/>
        <v xml:space="preserve">http://slimages.macys.com/is/image/MCY/11231691 </v>
      </c>
    </row>
    <row r="94" spans="1:12" ht="24.75" x14ac:dyDescent="0.25">
      <c r="A94" s="6" t="s">
        <v>5456</v>
      </c>
      <c r="B94" s="3" t="s">
        <v>5810</v>
      </c>
      <c r="C94" s="4">
        <v>1</v>
      </c>
      <c r="D94" s="5">
        <v>69.5</v>
      </c>
      <c r="E94" s="4">
        <v>100038288</v>
      </c>
      <c r="F94" s="3" t="s">
        <v>5811</v>
      </c>
      <c r="G94" s="7"/>
      <c r="H94" s="3" t="s">
        <v>5585</v>
      </c>
      <c r="I94" s="3" t="s">
        <v>5586</v>
      </c>
      <c r="J94" s="3" t="s">
        <v>5536</v>
      </c>
      <c r="K94" s="3" t="s">
        <v>5727</v>
      </c>
      <c r="L94" s="8" t="str">
        <f t="shared" si="0"/>
        <v xml:space="preserve">http://slimages.macys.com/is/image/MCY/11231691 </v>
      </c>
    </row>
    <row r="95" spans="1:12" ht="24.75" x14ac:dyDescent="0.25">
      <c r="A95" s="6" t="s">
        <v>5457</v>
      </c>
      <c r="B95" s="3" t="s">
        <v>5810</v>
      </c>
      <c r="C95" s="4">
        <v>1</v>
      </c>
      <c r="D95" s="5">
        <v>69.5</v>
      </c>
      <c r="E95" s="4">
        <v>100038288</v>
      </c>
      <c r="F95" s="3" t="s">
        <v>5811</v>
      </c>
      <c r="G95" s="7" t="s">
        <v>5662</v>
      </c>
      <c r="H95" s="3" t="s">
        <v>5585</v>
      </c>
      <c r="I95" s="3" t="s">
        <v>5586</v>
      </c>
      <c r="J95" s="3" t="s">
        <v>5536</v>
      </c>
      <c r="K95" s="3" t="s">
        <v>5727</v>
      </c>
      <c r="L95" s="8" t="str">
        <f t="shared" si="0"/>
        <v xml:space="preserve">http://slimages.macys.com/is/image/MCY/11231691 </v>
      </c>
    </row>
    <row r="96" spans="1:12" ht="24.75" x14ac:dyDescent="0.25">
      <c r="A96" s="6" t="s">
        <v>5458</v>
      </c>
      <c r="B96" s="3" t="s">
        <v>5810</v>
      </c>
      <c r="C96" s="4">
        <v>1</v>
      </c>
      <c r="D96" s="5">
        <v>69.5</v>
      </c>
      <c r="E96" s="4">
        <v>100038288</v>
      </c>
      <c r="F96" s="3" t="s">
        <v>5811</v>
      </c>
      <c r="G96" s="7" t="s">
        <v>5557</v>
      </c>
      <c r="H96" s="3" t="s">
        <v>5585</v>
      </c>
      <c r="I96" s="3" t="s">
        <v>5586</v>
      </c>
      <c r="J96" s="3" t="s">
        <v>5536</v>
      </c>
      <c r="K96" s="3" t="s">
        <v>5727</v>
      </c>
      <c r="L96" s="8" t="str">
        <f t="shared" si="0"/>
        <v xml:space="preserve">http://slimages.macys.com/is/image/MCY/11231691 </v>
      </c>
    </row>
    <row r="97" spans="1:12" ht="24.75" x14ac:dyDescent="0.25">
      <c r="A97" s="6" t="s">
        <v>5459</v>
      </c>
      <c r="B97" s="3" t="s">
        <v>5810</v>
      </c>
      <c r="C97" s="4">
        <v>1</v>
      </c>
      <c r="D97" s="5">
        <v>69.5</v>
      </c>
      <c r="E97" s="4">
        <v>100038288</v>
      </c>
      <c r="F97" s="3" t="s">
        <v>5811</v>
      </c>
      <c r="G97" s="7" t="s">
        <v>5694</v>
      </c>
      <c r="H97" s="3" t="s">
        <v>5585</v>
      </c>
      <c r="I97" s="3" t="s">
        <v>5586</v>
      </c>
      <c r="J97" s="3" t="s">
        <v>5536</v>
      </c>
      <c r="K97" s="3" t="s">
        <v>5727</v>
      </c>
      <c r="L97" s="8" t="str">
        <f t="shared" si="0"/>
        <v xml:space="preserve">http://slimages.macys.com/is/image/MCY/11231691 </v>
      </c>
    </row>
    <row r="98" spans="1:12" ht="36.75" x14ac:dyDescent="0.25">
      <c r="A98" s="6" t="s">
        <v>5460</v>
      </c>
      <c r="B98" s="3" t="s">
        <v>5461</v>
      </c>
      <c r="C98" s="4">
        <v>1</v>
      </c>
      <c r="D98" s="5">
        <v>50</v>
      </c>
      <c r="E98" s="4" t="s">
        <v>5462</v>
      </c>
      <c r="F98" s="3" t="s">
        <v>5540</v>
      </c>
      <c r="G98" s="7" t="s">
        <v>5598</v>
      </c>
      <c r="H98" s="3" t="s">
        <v>4819</v>
      </c>
      <c r="I98" s="3" t="s">
        <v>4820</v>
      </c>
      <c r="J98" s="3" t="s">
        <v>5536</v>
      </c>
      <c r="K98" s="3" t="s">
        <v>5463</v>
      </c>
      <c r="L98" s="8" t="str">
        <f>HYPERLINK("http://slimages.macys.com/is/image/MCY/14464655 ")</f>
        <v xml:space="preserve">http://slimages.macys.com/is/image/MCY/14464655 </v>
      </c>
    </row>
    <row r="99" spans="1:12" ht="36.75" x14ac:dyDescent="0.25">
      <c r="A99" s="6" t="s">
        <v>5464</v>
      </c>
      <c r="B99" s="3" t="s">
        <v>5461</v>
      </c>
      <c r="C99" s="4">
        <v>1</v>
      </c>
      <c r="D99" s="5">
        <v>50</v>
      </c>
      <c r="E99" s="4" t="s">
        <v>5465</v>
      </c>
      <c r="F99" s="3" t="s">
        <v>5783</v>
      </c>
      <c r="G99" s="7" t="s">
        <v>5598</v>
      </c>
      <c r="H99" s="3" t="s">
        <v>4819</v>
      </c>
      <c r="I99" s="3" t="s">
        <v>4820</v>
      </c>
      <c r="J99" s="3" t="s">
        <v>5536</v>
      </c>
      <c r="K99" s="3" t="s">
        <v>5463</v>
      </c>
      <c r="L99" s="8" t="str">
        <f>HYPERLINK("http://slimages.macys.com/is/image/MCY/14464655 ")</f>
        <v xml:space="preserve">http://slimages.macys.com/is/image/MCY/14464655 </v>
      </c>
    </row>
    <row r="100" spans="1:12" ht="24.75" x14ac:dyDescent="0.25">
      <c r="A100" s="6" t="s">
        <v>5466</v>
      </c>
      <c r="B100" s="3" t="s">
        <v>5467</v>
      </c>
      <c r="C100" s="4">
        <v>1</v>
      </c>
      <c r="D100" s="5">
        <v>57.99</v>
      </c>
      <c r="E100" s="4">
        <v>1123489</v>
      </c>
      <c r="F100" s="3" t="s">
        <v>5546</v>
      </c>
      <c r="G100" s="7"/>
      <c r="H100" s="3" t="s">
        <v>5722</v>
      </c>
      <c r="I100" s="3" t="s">
        <v>4758</v>
      </c>
      <c r="J100" s="3" t="s">
        <v>5536</v>
      </c>
      <c r="K100" s="3" t="s">
        <v>5549</v>
      </c>
      <c r="L100" s="8" t="str">
        <f>HYPERLINK("http://slimages.macys.com/is/image/MCY/14604352 ")</f>
        <v xml:space="preserve">http://slimages.macys.com/is/image/MCY/14604352 </v>
      </c>
    </row>
    <row r="101" spans="1:12" ht="24.75" x14ac:dyDescent="0.25">
      <c r="A101" s="6" t="s">
        <v>5468</v>
      </c>
      <c r="B101" s="3" t="s">
        <v>5469</v>
      </c>
      <c r="C101" s="4">
        <v>1</v>
      </c>
      <c r="D101" s="5">
        <v>54.5</v>
      </c>
      <c r="E101" s="4" t="s">
        <v>5470</v>
      </c>
      <c r="F101" s="3" t="s">
        <v>5793</v>
      </c>
      <c r="G101" s="7" t="s">
        <v>5573</v>
      </c>
      <c r="H101" s="3" t="s">
        <v>7211</v>
      </c>
      <c r="I101" s="3" t="s">
        <v>7212</v>
      </c>
      <c r="J101" s="3" t="s">
        <v>5536</v>
      </c>
      <c r="K101" s="3" t="s">
        <v>5558</v>
      </c>
      <c r="L101" s="8" t="str">
        <f>HYPERLINK("http://slimages.macys.com/is/image/MCY/14333815 ")</f>
        <v xml:space="preserve">http://slimages.macys.com/is/image/MCY/14333815 </v>
      </c>
    </row>
    <row r="102" spans="1:12" ht="24.75" x14ac:dyDescent="0.25">
      <c r="A102" s="6" t="s">
        <v>5471</v>
      </c>
      <c r="B102" s="3" t="s">
        <v>4733</v>
      </c>
      <c r="C102" s="4">
        <v>1</v>
      </c>
      <c r="D102" s="5">
        <v>56.99</v>
      </c>
      <c r="E102" s="4" t="s">
        <v>4734</v>
      </c>
      <c r="F102" s="3" t="s">
        <v>4216</v>
      </c>
      <c r="G102" s="7"/>
      <c r="H102" s="3" t="s">
        <v>5722</v>
      </c>
      <c r="I102" s="3" t="s">
        <v>4735</v>
      </c>
      <c r="J102" s="3" t="s">
        <v>5536</v>
      </c>
      <c r="K102" s="3" t="s">
        <v>5549</v>
      </c>
      <c r="L102" s="8" t="str">
        <f>HYPERLINK("http://slimages.macys.com/is/image/MCY/10592826 ")</f>
        <v xml:space="preserve">http://slimages.macys.com/is/image/MCY/10592826 </v>
      </c>
    </row>
    <row r="103" spans="1:12" ht="24.75" x14ac:dyDescent="0.25">
      <c r="A103" s="6" t="s">
        <v>5472</v>
      </c>
      <c r="B103" s="3" t="s">
        <v>4733</v>
      </c>
      <c r="C103" s="4">
        <v>1</v>
      </c>
      <c r="D103" s="5">
        <v>56.99</v>
      </c>
      <c r="E103" s="4" t="s">
        <v>4734</v>
      </c>
      <c r="F103" s="3" t="s">
        <v>4216</v>
      </c>
      <c r="G103" s="7" t="s">
        <v>5755</v>
      </c>
      <c r="H103" s="3" t="s">
        <v>5722</v>
      </c>
      <c r="I103" s="3" t="s">
        <v>4735</v>
      </c>
      <c r="J103" s="3" t="s">
        <v>5536</v>
      </c>
      <c r="K103" s="3" t="s">
        <v>5549</v>
      </c>
      <c r="L103" s="8" t="str">
        <f>HYPERLINK("http://slimages.macys.com/is/image/MCY/10592826 ")</f>
        <v xml:space="preserve">http://slimages.macys.com/is/image/MCY/10592826 </v>
      </c>
    </row>
    <row r="104" spans="1:12" ht="24.75" x14ac:dyDescent="0.25">
      <c r="A104" s="6" t="s">
        <v>5473</v>
      </c>
      <c r="B104" s="3" t="s">
        <v>5474</v>
      </c>
      <c r="C104" s="4">
        <v>1</v>
      </c>
      <c r="D104" s="5">
        <v>56.99</v>
      </c>
      <c r="E104" s="4" t="s">
        <v>5475</v>
      </c>
      <c r="F104" s="3" t="s">
        <v>5783</v>
      </c>
      <c r="G104" s="7"/>
      <c r="H104" s="3" t="s">
        <v>5722</v>
      </c>
      <c r="I104" s="3" t="s">
        <v>4735</v>
      </c>
      <c r="J104" s="3" t="s">
        <v>5536</v>
      </c>
      <c r="K104" s="3" t="s">
        <v>5549</v>
      </c>
      <c r="L104" s="8" t="str">
        <f>HYPERLINK("http://slimages.macys.com/is/image/MCY/12672768 ")</f>
        <v xml:space="preserve">http://slimages.macys.com/is/image/MCY/12672768 </v>
      </c>
    </row>
    <row r="105" spans="1:12" ht="24.75" x14ac:dyDescent="0.25">
      <c r="A105" s="6" t="s">
        <v>5476</v>
      </c>
      <c r="B105" s="3" t="s">
        <v>4737</v>
      </c>
      <c r="C105" s="4">
        <v>1</v>
      </c>
      <c r="D105" s="5">
        <v>56.99</v>
      </c>
      <c r="E105" s="4" t="s">
        <v>4738</v>
      </c>
      <c r="F105" s="3" t="s">
        <v>6983</v>
      </c>
      <c r="G105" s="7" t="s">
        <v>5777</v>
      </c>
      <c r="H105" s="3" t="s">
        <v>5722</v>
      </c>
      <c r="I105" s="3" t="s">
        <v>4735</v>
      </c>
      <c r="J105" s="3" t="s">
        <v>5536</v>
      </c>
      <c r="K105" s="3" t="s">
        <v>5587</v>
      </c>
      <c r="L105" s="8" t="str">
        <f>HYPERLINK("http://slimages.macys.com/is/image/MCY/9586948 ")</f>
        <v xml:space="preserve">http://slimages.macys.com/is/image/MCY/9586948 </v>
      </c>
    </row>
    <row r="106" spans="1:12" ht="24.75" x14ac:dyDescent="0.25">
      <c r="A106" s="6" t="s">
        <v>5477</v>
      </c>
      <c r="B106" s="3" t="s">
        <v>5818</v>
      </c>
      <c r="C106" s="4">
        <v>1</v>
      </c>
      <c r="D106" s="5">
        <v>69.989999999999995</v>
      </c>
      <c r="E106" s="4" t="s">
        <v>5819</v>
      </c>
      <c r="F106" s="3" t="s">
        <v>5820</v>
      </c>
      <c r="G106" s="7"/>
      <c r="H106" s="3" t="s">
        <v>5722</v>
      </c>
      <c r="I106" s="3" t="s">
        <v>5756</v>
      </c>
      <c r="J106" s="3" t="s">
        <v>5536</v>
      </c>
      <c r="K106" s="3" t="s">
        <v>5641</v>
      </c>
      <c r="L106" s="8" t="str">
        <f>HYPERLINK("http://slimages.macys.com/is/image/MCY/14800616 ")</f>
        <v xml:space="preserve">http://slimages.macys.com/is/image/MCY/14800616 </v>
      </c>
    </row>
    <row r="107" spans="1:12" ht="24.75" x14ac:dyDescent="0.25">
      <c r="A107" s="6" t="s">
        <v>5478</v>
      </c>
      <c r="B107" s="3" t="s">
        <v>5479</v>
      </c>
      <c r="C107" s="4">
        <v>1</v>
      </c>
      <c r="D107" s="5">
        <v>69</v>
      </c>
      <c r="E107" s="4">
        <v>12150740</v>
      </c>
      <c r="F107" s="3" t="s">
        <v>5820</v>
      </c>
      <c r="G107" s="7" t="s">
        <v>5596</v>
      </c>
      <c r="H107" s="3" t="s">
        <v>5480</v>
      </c>
      <c r="I107" s="3" t="s">
        <v>5481</v>
      </c>
      <c r="J107" s="3" t="s">
        <v>5536</v>
      </c>
      <c r="K107" s="3" t="s">
        <v>5594</v>
      </c>
      <c r="L107" s="8" t="str">
        <f>HYPERLINK("http://slimages.macys.com/is/image/MCY/13316530 ")</f>
        <v xml:space="preserve">http://slimages.macys.com/is/image/MCY/13316530 </v>
      </c>
    </row>
    <row r="108" spans="1:12" ht="24.75" x14ac:dyDescent="0.25">
      <c r="A108" s="6" t="s">
        <v>5482</v>
      </c>
      <c r="B108" s="3" t="s">
        <v>5483</v>
      </c>
      <c r="C108" s="4">
        <v>2</v>
      </c>
      <c r="D108" s="5">
        <v>80</v>
      </c>
      <c r="E108" s="4">
        <v>1287051</v>
      </c>
      <c r="F108" s="3" t="s">
        <v>5815</v>
      </c>
      <c r="G108" s="7" t="s">
        <v>5533</v>
      </c>
      <c r="H108" s="3" t="s">
        <v>5929</v>
      </c>
      <c r="I108" s="3" t="s">
        <v>5930</v>
      </c>
      <c r="J108" s="3"/>
      <c r="K108" s="3"/>
      <c r="L108" s="8" t="str">
        <f>HYPERLINK("http://slimages.macys.com/is/image/MCY/10065766 ")</f>
        <v xml:space="preserve">http://slimages.macys.com/is/image/MCY/10065766 </v>
      </c>
    </row>
    <row r="109" spans="1:12" ht="24.75" x14ac:dyDescent="0.25">
      <c r="A109" s="6" t="s">
        <v>5484</v>
      </c>
      <c r="B109" s="3" t="s">
        <v>5483</v>
      </c>
      <c r="C109" s="4">
        <v>1</v>
      </c>
      <c r="D109" s="5">
        <v>40</v>
      </c>
      <c r="E109" s="4">
        <v>1287051</v>
      </c>
      <c r="F109" s="3" t="s">
        <v>5815</v>
      </c>
      <c r="G109" s="7" t="s">
        <v>5560</v>
      </c>
      <c r="H109" s="3" t="s">
        <v>5929</v>
      </c>
      <c r="I109" s="3" t="s">
        <v>5930</v>
      </c>
      <c r="J109" s="3"/>
      <c r="K109" s="3"/>
      <c r="L109" s="8" t="str">
        <f>HYPERLINK("http://slimages.macys.com/is/image/MCY/10065766 ")</f>
        <v xml:space="preserve">http://slimages.macys.com/is/image/MCY/10065766 </v>
      </c>
    </row>
    <row r="110" spans="1:12" x14ac:dyDescent="0.25">
      <c r="A110" s="6" t="s">
        <v>5485</v>
      </c>
      <c r="B110" s="3" t="s">
        <v>5483</v>
      </c>
      <c r="C110" s="4">
        <v>1</v>
      </c>
      <c r="D110" s="5">
        <v>40</v>
      </c>
      <c r="E110" s="4">
        <v>1287051</v>
      </c>
      <c r="F110" s="3" t="s">
        <v>5793</v>
      </c>
      <c r="G110" s="7" t="s">
        <v>5560</v>
      </c>
      <c r="H110" s="3" t="s">
        <v>5929</v>
      </c>
      <c r="I110" s="3" t="s">
        <v>5930</v>
      </c>
      <c r="J110" s="3"/>
      <c r="K110" s="3"/>
      <c r="L110" s="8" t="str">
        <f>HYPERLINK("http://slimages.macys.com/is/image/MCY/10065766 ")</f>
        <v xml:space="preserve">http://slimages.macys.com/is/image/MCY/10065766 </v>
      </c>
    </row>
    <row r="111" spans="1:12" ht="24.75" x14ac:dyDescent="0.25">
      <c r="A111" s="6" t="s">
        <v>4747</v>
      </c>
      <c r="B111" s="3" t="s">
        <v>5822</v>
      </c>
      <c r="C111" s="4">
        <v>2</v>
      </c>
      <c r="D111" s="5">
        <v>46</v>
      </c>
      <c r="E111" s="4" t="s">
        <v>5823</v>
      </c>
      <c r="F111" s="3" t="s">
        <v>5532</v>
      </c>
      <c r="G111" s="7"/>
      <c r="H111" s="3" t="s">
        <v>5825</v>
      </c>
      <c r="I111" s="3" t="s">
        <v>5826</v>
      </c>
      <c r="J111" s="3" t="s">
        <v>5536</v>
      </c>
      <c r="K111" s="3" t="s">
        <v>5549</v>
      </c>
      <c r="L111" s="8" t="str">
        <f>HYPERLINK("http://slimages.macys.com/is/image/MCY/16268498 ")</f>
        <v xml:space="preserve">http://slimages.macys.com/is/image/MCY/16268498 </v>
      </c>
    </row>
    <row r="112" spans="1:12" ht="24.75" x14ac:dyDescent="0.25">
      <c r="A112" s="6" t="s">
        <v>5486</v>
      </c>
      <c r="B112" s="3" t="s">
        <v>5822</v>
      </c>
      <c r="C112" s="4">
        <v>1</v>
      </c>
      <c r="D112" s="5">
        <v>23</v>
      </c>
      <c r="E112" s="4" t="s">
        <v>5823</v>
      </c>
      <c r="F112" s="3" t="s">
        <v>5532</v>
      </c>
      <c r="G112" s="7" t="s">
        <v>5760</v>
      </c>
      <c r="H112" s="3" t="s">
        <v>5825</v>
      </c>
      <c r="I112" s="3" t="s">
        <v>5826</v>
      </c>
      <c r="J112" s="3" t="s">
        <v>5536</v>
      </c>
      <c r="K112" s="3" t="s">
        <v>5549</v>
      </c>
      <c r="L112" s="8" t="str">
        <f>HYPERLINK("http://slimages.macys.com/is/image/MCY/16268498 ")</f>
        <v xml:space="preserve">http://slimages.macys.com/is/image/MCY/16268498 </v>
      </c>
    </row>
    <row r="113" spans="1:12" ht="24.75" x14ac:dyDescent="0.25">
      <c r="A113" s="6" t="s">
        <v>5821</v>
      </c>
      <c r="B113" s="3" t="s">
        <v>5822</v>
      </c>
      <c r="C113" s="4">
        <v>1</v>
      </c>
      <c r="D113" s="5">
        <v>23</v>
      </c>
      <c r="E113" s="4" t="s">
        <v>5823</v>
      </c>
      <c r="F113" s="3" t="s">
        <v>5532</v>
      </c>
      <c r="G113" s="7" t="s">
        <v>5824</v>
      </c>
      <c r="H113" s="3" t="s">
        <v>5825</v>
      </c>
      <c r="I113" s="3" t="s">
        <v>5826</v>
      </c>
      <c r="J113" s="3" t="s">
        <v>5536</v>
      </c>
      <c r="K113" s="3" t="s">
        <v>5549</v>
      </c>
      <c r="L113" s="8" t="str">
        <f>HYPERLINK("http://slimages.macys.com/is/image/MCY/16268498 ")</f>
        <v xml:space="preserve">http://slimages.macys.com/is/image/MCY/16268498 </v>
      </c>
    </row>
    <row r="114" spans="1:12" ht="24.75" x14ac:dyDescent="0.25">
      <c r="A114" s="6" t="s">
        <v>5834</v>
      </c>
      <c r="B114" s="3" t="s">
        <v>5822</v>
      </c>
      <c r="C114" s="4">
        <v>1</v>
      </c>
      <c r="D114" s="5">
        <v>23</v>
      </c>
      <c r="E114" s="4" t="s">
        <v>5823</v>
      </c>
      <c r="F114" s="3" t="s">
        <v>5532</v>
      </c>
      <c r="G114" s="7" t="s">
        <v>5835</v>
      </c>
      <c r="H114" s="3" t="s">
        <v>5825</v>
      </c>
      <c r="I114" s="3" t="s">
        <v>5826</v>
      </c>
      <c r="J114" s="3" t="s">
        <v>5536</v>
      </c>
      <c r="K114" s="3" t="s">
        <v>5549</v>
      </c>
      <c r="L114" s="8" t="str">
        <f>HYPERLINK("http://slimages.macys.com/is/image/MCY/16268498 ")</f>
        <v xml:space="preserve">http://slimages.macys.com/is/image/MCY/16268498 </v>
      </c>
    </row>
    <row r="115" spans="1:12" x14ac:dyDescent="0.25">
      <c r="A115" s="6" t="s">
        <v>5487</v>
      </c>
      <c r="B115" s="3" t="s">
        <v>5488</v>
      </c>
      <c r="C115" s="4">
        <v>1</v>
      </c>
      <c r="D115" s="5">
        <v>39.99</v>
      </c>
      <c r="E115" s="4" t="s">
        <v>5489</v>
      </c>
      <c r="F115" s="3" t="s">
        <v>5578</v>
      </c>
      <c r="G115" s="7" t="s">
        <v>5596</v>
      </c>
      <c r="H115" s="3" t="s">
        <v>6003</v>
      </c>
      <c r="I115" s="3" t="s">
        <v>6004</v>
      </c>
      <c r="J115" s="3" t="s">
        <v>5536</v>
      </c>
      <c r="K115" s="3" t="s">
        <v>5549</v>
      </c>
      <c r="L115" s="8" t="str">
        <f>HYPERLINK("http://slimages.macys.com/is/image/MCY/10148859 ")</f>
        <v xml:space="preserve">http://slimages.macys.com/is/image/MCY/10148859 </v>
      </c>
    </row>
    <row r="116" spans="1:12" x14ac:dyDescent="0.25">
      <c r="A116" s="6" t="s">
        <v>5836</v>
      </c>
      <c r="B116" s="3" t="s">
        <v>5837</v>
      </c>
      <c r="C116" s="4">
        <v>1</v>
      </c>
      <c r="D116" s="5">
        <v>34.99</v>
      </c>
      <c r="E116" s="4">
        <v>232510006</v>
      </c>
      <c r="F116" s="3" t="s">
        <v>5540</v>
      </c>
      <c r="G116" s="7" t="s">
        <v>5838</v>
      </c>
      <c r="H116" s="3" t="s">
        <v>5606</v>
      </c>
      <c r="I116" s="3" t="s">
        <v>5607</v>
      </c>
      <c r="J116" s="3" t="s">
        <v>5536</v>
      </c>
      <c r="K116" s="3" t="s">
        <v>5594</v>
      </c>
      <c r="L116" s="8" t="str">
        <f>HYPERLINK("http://slimages.macys.com/is/image/MCY/3266708 ")</f>
        <v xml:space="preserve">http://slimages.macys.com/is/image/MCY/3266708 </v>
      </c>
    </row>
    <row r="117" spans="1:12" ht="24.75" x14ac:dyDescent="0.25">
      <c r="A117" s="6" t="s">
        <v>5847</v>
      </c>
      <c r="B117" s="3" t="s">
        <v>5848</v>
      </c>
      <c r="C117" s="4">
        <v>1</v>
      </c>
      <c r="D117" s="5">
        <v>34.99</v>
      </c>
      <c r="E117" s="4">
        <v>232510003</v>
      </c>
      <c r="F117" s="3" t="s">
        <v>5849</v>
      </c>
      <c r="G117" s="7" t="s">
        <v>5850</v>
      </c>
      <c r="H117" s="3" t="s">
        <v>5606</v>
      </c>
      <c r="I117" s="3" t="s">
        <v>5607</v>
      </c>
      <c r="J117" s="3" t="s">
        <v>5536</v>
      </c>
      <c r="K117" s="3" t="s">
        <v>5594</v>
      </c>
      <c r="L117" s="8" t="str">
        <f>HYPERLINK("http://slimages.macys.com/is/image/MCY/3266708 ")</f>
        <v xml:space="preserve">http://slimages.macys.com/is/image/MCY/3266708 </v>
      </c>
    </row>
    <row r="118" spans="1:12" ht="24.75" x14ac:dyDescent="0.25">
      <c r="A118" s="6" t="s">
        <v>5490</v>
      </c>
      <c r="B118" s="3" t="s">
        <v>5491</v>
      </c>
      <c r="C118" s="4">
        <v>1</v>
      </c>
      <c r="D118" s="5">
        <v>44.99</v>
      </c>
      <c r="E118" s="4" t="s">
        <v>5492</v>
      </c>
      <c r="F118" s="3" t="s">
        <v>5616</v>
      </c>
      <c r="G118" s="7" t="s">
        <v>5596</v>
      </c>
      <c r="H118" s="3" t="s">
        <v>5606</v>
      </c>
      <c r="I118" s="3" t="s">
        <v>5914</v>
      </c>
      <c r="J118" s="3" t="s">
        <v>5536</v>
      </c>
      <c r="K118" s="3" t="s">
        <v>5727</v>
      </c>
      <c r="L118" s="8" t="str">
        <f>HYPERLINK("http://slimages.macys.com/is/image/MCY/15255861 ")</f>
        <v xml:space="preserve">http://slimages.macys.com/is/image/MCY/15255861 </v>
      </c>
    </row>
    <row r="119" spans="1:12" ht="24.75" x14ac:dyDescent="0.25">
      <c r="A119" s="6" t="s">
        <v>5493</v>
      </c>
      <c r="B119" s="3" t="s">
        <v>5491</v>
      </c>
      <c r="C119" s="4">
        <v>1</v>
      </c>
      <c r="D119" s="5">
        <v>44.99</v>
      </c>
      <c r="E119" s="4" t="s">
        <v>5492</v>
      </c>
      <c r="F119" s="3" t="s">
        <v>5616</v>
      </c>
      <c r="G119" s="7" t="s">
        <v>5533</v>
      </c>
      <c r="H119" s="3" t="s">
        <v>5606</v>
      </c>
      <c r="I119" s="3" t="s">
        <v>5914</v>
      </c>
      <c r="J119" s="3" t="s">
        <v>5536</v>
      </c>
      <c r="K119" s="3" t="s">
        <v>5727</v>
      </c>
      <c r="L119" s="8" t="str">
        <f>HYPERLINK("http://slimages.macys.com/is/image/MCY/15255861 ")</f>
        <v xml:space="preserve">http://slimages.macys.com/is/image/MCY/15255861 </v>
      </c>
    </row>
    <row r="120" spans="1:12" ht="24.75" x14ac:dyDescent="0.25">
      <c r="A120" s="6" t="s">
        <v>5494</v>
      </c>
      <c r="B120" s="3" t="s">
        <v>5848</v>
      </c>
      <c r="C120" s="4">
        <v>1</v>
      </c>
      <c r="D120" s="5">
        <v>34.99</v>
      </c>
      <c r="E120" s="4">
        <v>232510003</v>
      </c>
      <c r="F120" s="3" t="s">
        <v>5849</v>
      </c>
      <c r="G120" s="7" t="s">
        <v>6491</v>
      </c>
      <c r="H120" s="3" t="s">
        <v>5606</v>
      </c>
      <c r="I120" s="3" t="s">
        <v>5607</v>
      </c>
      <c r="J120" s="3" t="s">
        <v>5536</v>
      </c>
      <c r="K120" s="3" t="s">
        <v>5594</v>
      </c>
      <c r="L120" s="8" t="str">
        <f>HYPERLINK("http://slimages.macys.com/is/image/MCY/3266708 ")</f>
        <v xml:space="preserve">http://slimages.macys.com/is/image/MCY/3266708 </v>
      </c>
    </row>
    <row r="121" spans="1:12" ht="24.75" x14ac:dyDescent="0.25">
      <c r="A121" s="6" t="s">
        <v>5495</v>
      </c>
      <c r="B121" s="3" t="s">
        <v>5496</v>
      </c>
      <c r="C121" s="4">
        <v>1</v>
      </c>
      <c r="D121" s="5">
        <v>34.99</v>
      </c>
      <c r="E121" s="4">
        <v>232510017</v>
      </c>
      <c r="F121" s="3" t="s">
        <v>5532</v>
      </c>
      <c r="G121" s="7" t="s">
        <v>7103</v>
      </c>
      <c r="H121" s="3" t="s">
        <v>5606</v>
      </c>
      <c r="I121" s="3" t="s">
        <v>5607</v>
      </c>
      <c r="J121" s="3" t="s">
        <v>5536</v>
      </c>
      <c r="K121" s="3" t="s">
        <v>5594</v>
      </c>
      <c r="L121" s="8" t="str">
        <f>HYPERLINK("http://slimages.macys.com/is/image/MCY/3266708 ")</f>
        <v xml:space="preserve">http://slimages.macys.com/is/image/MCY/3266708 </v>
      </c>
    </row>
    <row r="122" spans="1:12" ht="24.75" x14ac:dyDescent="0.25">
      <c r="A122" s="6" t="s">
        <v>5497</v>
      </c>
      <c r="B122" s="3" t="s">
        <v>5848</v>
      </c>
      <c r="C122" s="4">
        <v>1</v>
      </c>
      <c r="D122" s="5">
        <v>34.99</v>
      </c>
      <c r="E122" s="4">
        <v>232510003</v>
      </c>
      <c r="F122" s="3" t="s">
        <v>5849</v>
      </c>
      <c r="G122" s="7" t="s">
        <v>7103</v>
      </c>
      <c r="H122" s="3" t="s">
        <v>5606</v>
      </c>
      <c r="I122" s="3" t="s">
        <v>5607</v>
      </c>
      <c r="J122" s="3" t="s">
        <v>5536</v>
      </c>
      <c r="K122" s="3" t="s">
        <v>5594</v>
      </c>
      <c r="L122" s="8" t="str">
        <f>HYPERLINK("http://slimages.macys.com/is/image/MCY/3266708 ")</f>
        <v xml:space="preserve">http://slimages.macys.com/is/image/MCY/3266708 </v>
      </c>
    </row>
    <row r="123" spans="1:12" x14ac:dyDescent="0.25">
      <c r="A123" s="6" t="s">
        <v>5498</v>
      </c>
      <c r="B123" s="3" t="s">
        <v>5499</v>
      </c>
      <c r="C123" s="4">
        <v>1</v>
      </c>
      <c r="D123" s="5">
        <v>44.99</v>
      </c>
      <c r="E123" s="4" t="s">
        <v>5492</v>
      </c>
      <c r="F123" s="3" t="s">
        <v>5754</v>
      </c>
      <c r="G123" s="7" t="s">
        <v>5598</v>
      </c>
      <c r="H123" s="3" t="s">
        <v>5606</v>
      </c>
      <c r="I123" s="3" t="s">
        <v>5914</v>
      </c>
      <c r="J123" s="3" t="s">
        <v>5536</v>
      </c>
      <c r="K123" s="3" t="s">
        <v>5727</v>
      </c>
      <c r="L123" s="8" t="str">
        <f>HYPERLINK("http://slimages.macys.com/is/image/MCY/15255861 ")</f>
        <v xml:space="preserve">http://slimages.macys.com/is/image/MCY/15255861 </v>
      </c>
    </row>
    <row r="124" spans="1:12" x14ac:dyDescent="0.25">
      <c r="A124" s="6" t="s">
        <v>5500</v>
      </c>
      <c r="B124" s="3" t="s">
        <v>5499</v>
      </c>
      <c r="C124" s="4">
        <v>1</v>
      </c>
      <c r="D124" s="5">
        <v>44.99</v>
      </c>
      <c r="E124" s="4" t="s">
        <v>5492</v>
      </c>
      <c r="F124" s="3" t="s">
        <v>5754</v>
      </c>
      <c r="G124" s="7" t="s">
        <v>5560</v>
      </c>
      <c r="H124" s="3" t="s">
        <v>5606</v>
      </c>
      <c r="I124" s="3" t="s">
        <v>5914</v>
      </c>
      <c r="J124" s="3" t="s">
        <v>5536</v>
      </c>
      <c r="K124" s="3" t="s">
        <v>5727</v>
      </c>
      <c r="L124" s="8" t="str">
        <f>HYPERLINK("http://slimages.macys.com/is/image/MCY/15255861 ")</f>
        <v xml:space="preserve">http://slimages.macys.com/is/image/MCY/15255861 </v>
      </c>
    </row>
    <row r="125" spans="1:12" ht="24.75" x14ac:dyDescent="0.25">
      <c r="A125" s="6" t="s">
        <v>5501</v>
      </c>
      <c r="B125" s="3" t="s">
        <v>5502</v>
      </c>
      <c r="C125" s="4">
        <v>1</v>
      </c>
      <c r="D125" s="5">
        <v>39.99</v>
      </c>
      <c r="E125" s="4" t="s">
        <v>5503</v>
      </c>
      <c r="F125" s="3" t="s">
        <v>5815</v>
      </c>
      <c r="G125" s="7" t="s">
        <v>5596</v>
      </c>
      <c r="H125" s="3" t="s">
        <v>5606</v>
      </c>
      <c r="I125" s="3" t="s">
        <v>5914</v>
      </c>
      <c r="J125" s="3" t="s">
        <v>5536</v>
      </c>
      <c r="K125" s="3" t="s">
        <v>5594</v>
      </c>
      <c r="L125" s="8" t="str">
        <f>HYPERLINK("http://slimages.macys.com/is/image/MCY/11485935 ")</f>
        <v xml:space="preserve">http://slimages.macys.com/is/image/MCY/11485935 </v>
      </c>
    </row>
    <row r="126" spans="1:12" ht="24.75" x14ac:dyDescent="0.25">
      <c r="A126" s="6" t="s">
        <v>5504</v>
      </c>
      <c r="B126" s="3" t="s">
        <v>5505</v>
      </c>
      <c r="C126" s="4">
        <v>1</v>
      </c>
      <c r="D126" s="5">
        <v>49.5</v>
      </c>
      <c r="E126" s="4" t="s">
        <v>5506</v>
      </c>
      <c r="F126" s="3" t="s">
        <v>5793</v>
      </c>
      <c r="G126" s="7" t="s">
        <v>6848</v>
      </c>
      <c r="H126" s="3" t="s">
        <v>7211</v>
      </c>
      <c r="I126" s="3" t="s">
        <v>7212</v>
      </c>
      <c r="J126" s="3" t="s">
        <v>5536</v>
      </c>
      <c r="K126" s="3" t="s">
        <v>5574</v>
      </c>
      <c r="L126" s="8" t="str">
        <f>HYPERLINK("http://slimages.macys.com/is/image/MCY/14345175 ")</f>
        <v xml:space="preserve">http://slimages.macys.com/is/image/MCY/14345175 </v>
      </c>
    </row>
    <row r="127" spans="1:12" ht="24.75" x14ac:dyDescent="0.25">
      <c r="A127" s="6" t="s">
        <v>5507</v>
      </c>
      <c r="B127" s="3" t="s">
        <v>5890</v>
      </c>
      <c r="C127" s="4">
        <v>1</v>
      </c>
      <c r="D127" s="5">
        <v>48.99</v>
      </c>
      <c r="E127" s="4" t="s">
        <v>5891</v>
      </c>
      <c r="F127" s="3" t="s">
        <v>5604</v>
      </c>
      <c r="G127" s="7" t="s">
        <v>5629</v>
      </c>
      <c r="H127" s="3" t="s">
        <v>5892</v>
      </c>
      <c r="I127" s="3" t="s">
        <v>5893</v>
      </c>
      <c r="J127" s="3" t="s">
        <v>5536</v>
      </c>
      <c r="K127" s="3" t="s">
        <v>5894</v>
      </c>
      <c r="L127" s="8" t="str">
        <f>HYPERLINK("http://slimages.macys.com/is/image/MCY/15176347 ")</f>
        <v xml:space="preserve">http://slimages.macys.com/is/image/MCY/15176347 </v>
      </c>
    </row>
    <row r="128" spans="1:12" ht="24.75" x14ac:dyDescent="0.25">
      <c r="A128" s="6" t="s">
        <v>5508</v>
      </c>
      <c r="B128" s="3" t="s">
        <v>5509</v>
      </c>
      <c r="C128" s="4">
        <v>1</v>
      </c>
      <c r="D128" s="5">
        <v>55</v>
      </c>
      <c r="E128" s="4" t="s">
        <v>5510</v>
      </c>
      <c r="F128" s="3" t="s">
        <v>5540</v>
      </c>
      <c r="G128" s="7" t="s">
        <v>5596</v>
      </c>
      <c r="H128" s="3" t="s">
        <v>4431</v>
      </c>
      <c r="I128" s="3" t="s">
        <v>5511</v>
      </c>
      <c r="J128" s="3" t="s">
        <v>5536</v>
      </c>
      <c r="K128" s="3" t="s">
        <v>5512</v>
      </c>
      <c r="L128" s="8" t="str">
        <f>HYPERLINK("http://slimages.macys.com/is/image/MCY/12953345 ")</f>
        <v xml:space="preserve">http://slimages.macys.com/is/image/MCY/12953345 </v>
      </c>
    </row>
    <row r="129" spans="1:12" ht="36.75" x14ac:dyDescent="0.25">
      <c r="A129" s="6" t="s">
        <v>5906</v>
      </c>
      <c r="B129" s="3" t="s">
        <v>5902</v>
      </c>
      <c r="C129" s="4">
        <v>1</v>
      </c>
      <c r="D129" s="5">
        <v>54</v>
      </c>
      <c r="E129" s="4" t="s">
        <v>5903</v>
      </c>
      <c r="F129" s="3" t="s">
        <v>5540</v>
      </c>
      <c r="G129" s="7" t="s">
        <v>5596</v>
      </c>
      <c r="H129" s="3" t="s">
        <v>5842</v>
      </c>
      <c r="I129" s="3" t="s">
        <v>5904</v>
      </c>
      <c r="J129" s="3" t="s">
        <v>5536</v>
      </c>
      <c r="K129" s="3" t="s">
        <v>5905</v>
      </c>
      <c r="L129" s="8" t="str">
        <f>HYPERLINK("http://slimages.macys.com/is/image/MCY/14618778 ")</f>
        <v xml:space="preserve">http://slimages.macys.com/is/image/MCY/14618778 </v>
      </c>
    </row>
    <row r="130" spans="1:12" ht="24.75" x14ac:dyDescent="0.25">
      <c r="A130" s="6" t="s">
        <v>5513</v>
      </c>
      <c r="B130" s="3" t="s">
        <v>5514</v>
      </c>
      <c r="C130" s="4">
        <v>1</v>
      </c>
      <c r="D130" s="5">
        <v>56</v>
      </c>
      <c r="E130" s="4" t="s">
        <v>5515</v>
      </c>
      <c r="F130" s="3" t="s">
        <v>5540</v>
      </c>
      <c r="G130" s="7" t="s">
        <v>5898</v>
      </c>
      <c r="H130" s="3" t="s">
        <v>5842</v>
      </c>
      <c r="I130" s="3" t="s">
        <v>5904</v>
      </c>
      <c r="J130" s="3" t="s">
        <v>5536</v>
      </c>
      <c r="K130" s="3" t="s">
        <v>5984</v>
      </c>
      <c r="L130" s="8" t="str">
        <f>HYPERLINK("http://slimages.macys.com/is/image/MCY/15122027 ")</f>
        <v xml:space="preserve">http://slimages.macys.com/is/image/MCY/15122027 </v>
      </c>
    </row>
    <row r="131" spans="1:12" x14ac:dyDescent="0.25">
      <c r="A131" s="6" t="s">
        <v>5516</v>
      </c>
      <c r="B131" s="3" t="s">
        <v>5922</v>
      </c>
      <c r="C131" s="4">
        <v>1</v>
      </c>
      <c r="D131" s="5">
        <v>59.5</v>
      </c>
      <c r="E131" s="4">
        <v>100031340</v>
      </c>
      <c r="F131" s="3" t="s">
        <v>5540</v>
      </c>
      <c r="G131" s="7" t="s">
        <v>5596</v>
      </c>
      <c r="H131" s="3" t="s">
        <v>5585</v>
      </c>
      <c r="I131" s="3" t="s">
        <v>5586</v>
      </c>
      <c r="J131" s="3" t="s">
        <v>5536</v>
      </c>
      <c r="K131" s="3" t="s">
        <v>5574</v>
      </c>
      <c r="L131" s="8" t="str">
        <f>HYPERLINK("http://slimages.macys.com/is/image/MCY/10790042 ")</f>
        <v xml:space="preserve">http://slimages.macys.com/is/image/MCY/10790042 </v>
      </c>
    </row>
    <row r="132" spans="1:12" x14ac:dyDescent="0.25">
      <c r="A132" s="6" t="s">
        <v>5921</v>
      </c>
      <c r="B132" s="3" t="s">
        <v>5922</v>
      </c>
      <c r="C132" s="4">
        <v>1</v>
      </c>
      <c r="D132" s="5">
        <v>59.5</v>
      </c>
      <c r="E132" s="4">
        <v>100031340</v>
      </c>
      <c r="F132" s="3" t="s">
        <v>5540</v>
      </c>
      <c r="G132" s="7" t="s">
        <v>5533</v>
      </c>
      <c r="H132" s="3" t="s">
        <v>5585</v>
      </c>
      <c r="I132" s="3" t="s">
        <v>5586</v>
      </c>
      <c r="J132" s="3" t="s">
        <v>5536</v>
      </c>
      <c r="K132" s="3" t="s">
        <v>5574</v>
      </c>
      <c r="L132" s="8" t="str">
        <f>HYPERLINK("http://slimages.macys.com/is/image/MCY/10790042 ")</f>
        <v xml:space="preserve">http://slimages.macys.com/is/image/MCY/10790042 </v>
      </c>
    </row>
    <row r="133" spans="1:12" ht="24.75" x14ac:dyDescent="0.25">
      <c r="A133" s="6" t="s">
        <v>5517</v>
      </c>
      <c r="B133" s="3" t="s">
        <v>2149</v>
      </c>
      <c r="C133" s="4">
        <v>1</v>
      </c>
      <c r="D133" s="5">
        <v>56.99</v>
      </c>
      <c r="E133" s="4">
        <v>1123210</v>
      </c>
      <c r="F133" s="3" t="s">
        <v>5815</v>
      </c>
      <c r="G133" s="7" t="s">
        <v>4885</v>
      </c>
      <c r="H133" s="3" t="s">
        <v>5722</v>
      </c>
      <c r="I133" s="3" t="s">
        <v>4758</v>
      </c>
      <c r="J133" s="3" t="s">
        <v>5536</v>
      </c>
      <c r="K133" s="3" t="s">
        <v>5553</v>
      </c>
      <c r="L133" s="8" t="str">
        <f>HYPERLINK("http://slimages.macys.com/is/image/MCY/3818984 ")</f>
        <v xml:space="preserve">http://slimages.macys.com/is/image/MCY/3818984 </v>
      </c>
    </row>
    <row r="134" spans="1:12" ht="24.75" x14ac:dyDescent="0.25">
      <c r="A134" s="6" t="s">
        <v>2150</v>
      </c>
      <c r="B134" s="3" t="s">
        <v>2151</v>
      </c>
      <c r="C134" s="4">
        <v>1</v>
      </c>
      <c r="D134" s="5">
        <v>34.99</v>
      </c>
      <c r="E134" s="4">
        <v>408910015</v>
      </c>
      <c r="F134" s="3" t="s">
        <v>5634</v>
      </c>
      <c r="G134" s="7" t="s">
        <v>5629</v>
      </c>
      <c r="H134" s="3" t="s">
        <v>5807</v>
      </c>
      <c r="I134" s="3" t="s">
        <v>5808</v>
      </c>
      <c r="J134" s="3" t="s">
        <v>5536</v>
      </c>
      <c r="K134" s="3" t="s">
        <v>5553</v>
      </c>
      <c r="L134" s="8" t="str">
        <f>HYPERLINK("http://slimages.macys.com/is/image/MCY/9417862 ")</f>
        <v xml:space="preserve">http://slimages.macys.com/is/image/MCY/9417862 </v>
      </c>
    </row>
    <row r="135" spans="1:12" ht="24.75" x14ac:dyDescent="0.25">
      <c r="A135" s="6" t="s">
        <v>2152</v>
      </c>
      <c r="B135" s="3" t="s">
        <v>2153</v>
      </c>
      <c r="C135" s="4">
        <v>1</v>
      </c>
      <c r="D135" s="5">
        <v>35</v>
      </c>
      <c r="E135" s="4">
        <v>1715381</v>
      </c>
      <c r="F135" s="3" t="s">
        <v>5793</v>
      </c>
      <c r="G135" s="7"/>
      <c r="H135" s="3" t="s">
        <v>5929</v>
      </c>
      <c r="I135" s="3" t="s">
        <v>5930</v>
      </c>
      <c r="J135" s="3" t="s">
        <v>5536</v>
      </c>
      <c r="K135" s="3" t="s">
        <v>4535</v>
      </c>
      <c r="L135" s="8" t="str">
        <f>HYPERLINK("http://slimages.macys.com/is/image/MCY/13698395 ")</f>
        <v xml:space="preserve">http://slimages.macys.com/is/image/MCY/13698395 </v>
      </c>
    </row>
    <row r="136" spans="1:12" ht="24.75" x14ac:dyDescent="0.25">
      <c r="A136" s="6" t="s">
        <v>2154</v>
      </c>
      <c r="B136" s="3" t="s">
        <v>2155</v>
      </c>
      <c r="C136" s="4">
        <v>1</v>
      </c>
      <c r="D136" s="5">
        <v>79.5</v>
      </c>
      <c r="E136" s="4">
        <v>60650548</v>
      </c>
      <c r="F136" s="3" t="s">
        <v>5540</v>
      </c>
      <c r="G136" s="7" t="s">
        <v>5579</v>
      </c>
      <c r="H136" s="3" t="s">
        <v>5955</v>
      </c>
      <c r="I136" s="3" t="s">
        <v>5734</v>
      </c>
      <c r="J136" s="3" t="s">
        <v>5536</v>
      </c>
      <c r="K136" s="3" t="s">
        <v>5594</v>
      </c>
      <c r="L136" s="8" t="str">
        <f>HYPERLINK("http://slimages.macys.com/is/image/MCY/2946561 ")</f>
        <v xml:space="preserve">http://slimages.macys.com/is/image/MCY/2946561 </v>
      </c>
    </row>
    <row r="137" spans="1:12" ht="24.75" x14ac:dyDescent="0.25">
      <c r="A137" s="6" t="s">
        <v>2156</v>
      </c>
      <c r="B137" s="3" t="s">
        <v>2157</v>
      </c>
      <c r="C137" s="4">
        <v>1</v>
      </c>
      <c r="D137" s="5">
        <v>42.99</v>
      </c>
      <c r="E137" s="4" t="s">
        <v>2158</v>
      </c>
      <c r="F137" s="3" t="s">
        <v>4995</v>
      </c>
      <c r="G137" s="7" t="s">
        <v>2159</v>
      </c>
      <c r="H137" s="3" t="s">
        <v>5862</v>
      </c>
      <c r="I137" s="3" t="s">
        <v>4573</v>
      </c>
      <c r="J137" s="3" t="s">
        <v>5536</v>
      </c>
      <c r="K137" s="3" t="s">
        <v>6978</v>
      </c>
      <c r="L137" s="8" t="str">
        <f>HYPERLINK("http://slimages.macys.com/is/image/MCY/11630787 ")</f>
        <v xml:space="preserve">http://slimages.macys.com/is/image/MCY/11630787 </v>
      </c>
    </row>
    <row r="138" spans="1:12" ht="24.75" x14ac:dyDescent="0.25">
      <c r="A138" s="6" t="s">
        <v>2160</v>
      </c>
      <c r="B138" s="3" t="s">
        <v>2161</v>
      </c>
      <c r="C138" s="4">
        <v>1</v>
      </c>
      <c r="D138" s="5">
        <v>50</v>
      </c>
      <c r="E138" s="4" t="s">
        <v>2162</v>
      </c>
      <c r="F138" s="3" t="s">
        <v>5754</v>
      </c>
      <c r="G138" s="7"/>
      <c r="H138" s="3" t="s">
        <v>5842</v>
      </c>
      <c r="I138" s="3" t="s">
        <v>2163</v>
      </c>
      <c r="J138" s="3" t="s">
        <v>5536</v>
      </c>
      <c r="K138" s="3" t="s">
        <v>5549</v>
      </c>
      <c r="L138" s="8" t="str">
        <f>HYPERLINK("http://slimages.macys.com/is/image/MCY/16560249 ")</f>
        <v xml:space="preserve">http://slimages.macys.com/is/image/MCY/16560249 </v>
      </c>
    </row>
    <row r="139" spans="1:12" x14ac:dyDescent="0.25">
      <c r="A139" s="6" t="s">
        <v>2164</v>
      </c>
      <c r="B139" s="3" t="s">
        <v>5937</v>
      </c>
      <c r="C139" s="4">
        <v>1</v>
      </c>
      <c r="D139" s="5">
        <v>34.99</v>
      </c>
      <c r="E139" s="4" t="s">
        <v>5938</v>
      </c>
      <c r="F139" s="3" t="s">
        <v>5604</v>
      </c>
      <c r="G139" s="7" t="s">
        <v>5596</v>
      </c>
      <c r="H139" s="3" t="s">
        <v>5606</v>
      </c>
      <c r="I139" s="3" t="s">
        <v>5914</v>
      </c>
      <c r="J139" s="3" t="s">
        <v>5536</v>
      </c>
      <c r="K139" s="3" t="s">
        <v>5549</v>
      </c>
      <c r="L139" s="8" t="str">
        <f>HYPERLINK("http://slimages.macys.com/is/image/MCY/14433861 ")</f>
        <v xml:space="preserve">http://slimages.macys.com/is/image/MCY/14433861 </v>
      </c>
    </row>
    <row r="140" spans="1:12" ht="24.75" x14ac:dyDescent="0.25">
      <c r="A140" s="6" t="s">
        <v>2165</v>
      </c>
      <c r="B140" s="3" t="s">
        <v>2166</v>
      </c>
      <c r="C140" s="4">
        <v>1</v>
      </c>
      <c r="D140" s="5">
        <v>56</v>
      </c>
      <c r="E140" s="4" t="s">
        <v>2167</v>
      </c>
      <c r="F140" s="3" t="s">
        <v>5532</v>
      </c>
      <c r="G140" s="7" t="s">
        <v>5764</v>
      </c>
      <c r="H140" s="3" t="s">
        <v>5722</v>
      </c>
      <c r="I140" s="3" t="s">
        <v>5756</v>
      </c>
      <c r="J140" s="3" t="s">
        <v>5536</v>
      </c>
      <c r="K140" s="3" t="s">
        <v>5594</v>
      </c>
      <c r="L140" s="8" t="str">
        <f>HYPERLINK("http://slimages.macys.com/is/image/MCY/8133814 ")</f>
        <v xml:space="preserve">http://slimages.macys.com/is/image/MCY/8133814 </v>
      </c>
    </row>
    <row r="141" spans="1:12" ht="24.75" x14ac:dyDescent="0.25">
      <c r="A141" s="6" t="s">
        <v>2168</v>
      </c>
      <c r="B141" s="3" t="s">
        <v>2169</v>
      </c>
      <c r="C141" s="4">
        <v>1</v>
      </c>
      <c r="D141" s="5">
        <v>69.5</v>
      </c>
      <c r="E141" s="4">
        <v>100075961</v>
      </c>
      <c r="F141" s="3" t="s">
        <v>5540</v>
      </c>
      <c r="G141" s="7" t="s">
        <v>5567</v>
      </c>
      <c r="H141" s="3" t="s">
        <v>5585</v>
      </c>
      <c r="I141" s="3" t="s">
        <v>5586</v>
      </c>
      <c r="J141" s="3" t="s">
        <v>5536</v>
      </c>
      <c r="K141" s="3" t="s">
        <v>5864</v>
      </c>
      <c r="L141" s="8" t="str">
        <f>HYPERLINK("http://slimages.macys.com/is/image/MCY/15327946 ")</f>
        <v xml:space="preserve">http://slimages.macys.com/is/image/MCY/15327946 </v>
      </c>
    </row>
    <row r="142" spans="1:12" x14ac:dyDescent="0.25">
      <c r="A142" s="6" t="s">
        <v>2170</v>
      </c>
      <c r="B142" s="3" t="s">
        <v>3895</v>
      </c>
      <c r="C142" s="4">
        <v>1</v>
      </c>
      <c r="D142" s="5">
        <v>65</v>
      </c>
      <c r="E142" s="4">
        <v>100075705</v>
      </c>
      <c r="F142" s="3" t="s">
        <v>6075</v>
      </c>
      <c r="G142" s="7" t="s">
        <v>5560</v>
      </c>
      <c r="H142" s="3" t="s">
        <v>5585</v>
      </c>
      <c r="I142" s="3" t="s">
        <v>5734</v>
      </c>
      <c r="J142" s="3" t="s">
        <v>5536</v>
      </c>
      <c r="K142" s="3" t="s">
        <v>3896</v>
      </c>
      <c r="L142" s="8" t="str">
        <f>HYPERLINK("http://slimages.macys.com/is/image/MCY/15440742 ")</f>
        <v xml:space="preserve">http://slimages.macys.com/is/image/MCY/15440742 </v>
      </c>
    </row>
    <row r="143" spans="1:12" ht="24.75" x14ac:dyDescent="0.25">
      <c r="A143" s="6" t="s">
        <v>2171</v>
      </c>
      <c r="B143" s="3" t="s">
        <v>3898</v>
      </c>
      <c r="C143" s="4">
        <v>1</v>
      </c>
      <c r="D143" s="5">
        <v>39.99</v>
      </c>
      <c r="E143" s="4">
        <v>478740001</v>
      </c>
      <c r="F143" s="3" t="s">
        <v>6075</v>
      </c>
      <c r="G143" s="7" t="s">
        <v>5605</v>
      </c>
      <c r="H143" s="3" t="s">
        <v>5807</v>
      </c>
      <c r="I143" s="3" t="s">
        <v>5808</v>
      </c>
      <c r="J143" s="3" t="s">
        <v>5536</v>
      </c>
      <c r="K143" s="3" t="s">
        <v>5641</v>
      </c>
      <c r="L143" s="8" t="str">
        <f>HYPERLINK("http://slimages.macys.com/is/image/MCY/2910875 ")</f>
        <v xml:space="preserve">http://slimages.macys.com/is/image/MCY/2910875 </v>
      </c>
    </row>
    <row r="144" spans="1:12" x14ac:dyDescent="0.25">
      <c r="A144" s="6" t="s">
        <v>2172</v>
      </c>
      <c r="B144" s="3" t="s">
        <v>5973</v>
      </c>
      <c r="C144" s="4">
        <v>1</v>
      </c>
      <c r="D144" s="5">
        <v>34.99</v>
      </c>
      <c r="E144" s="4" t="s">
        <v>5968</v>
      </c>
      <c r="F144" s="3" t="s">
        <v>5783</v>
      </c>
      <c r="G144" s="7" t="s">
        <v>5533</v>
      </c>
      <c r="H144" s="3" t="s">
        <v>5606</v>
      </c>
      <c r="I144" s="3" t="s">
        <v>5914</v>
      </c>
      <c r="J144" s="3" t="s">
        <v>5536</v>
      </c>
      <c r="K144" s="3" t="s">
        <v>5574</v>
      </c>
      <c r="L144" s="8" t="str">
        <f>HYPERLINK("http://slimages.macys.com/is/image/MCY/14350785 ")</f>
        <v xml:space="preserve">http://slimages.macys.com/is/image/MCY/14350785 </v>
      </c>
    </row>
    <row r="145" spans="1:12" x14ac:dyDescent="0.25">
      <c r="A145" s="6" t="s">
        <v>2173</v>
      </c>
      <c r="B145" s="3" t="s">
        <v>4792</v>
      </c>
      <c r="C145" s="4">
        <v>1</v>
      </c>
      <c r="D145" s="5">
        <v>34.99</v>
      </c>
      <c r="E145" s="4" t="s">
        <v>4793</v>
      </c>
      <c r="F145" s="3"/>
      <c r="G145" s="7" t="s">
        <v>5598</v>
      </c>
      <c r="H145" s="3" t="s">
        <v>5606</v>
      </c>
      <c r="I145" s="3" t="s">
        <v>5914</v>
      </c>
      <c r="J145" s="3" t="s">
        <v>5536</v>
      </c>
      <c r="K145" s="3" t="s">
        <v>5574</v>
      </c>
      <c r="L145" s="8" t="str">
        <f>HYPERLINK("http://slimages.macys.com/is/image/MCY/14434322 ")</f>
        <v xml:space="preserve">http://slimages.macys.com/is/image/MCY/14434322 </v>
      </c>
    </row>
    <row r="146" spans="1:12" ht="24.75" x14ac:dyDescent="0.25">
      <c r="A146" s="6" t="s">
        <v>2174</v>
      </c>
      <c r="B146" s="3" t="s">
        <v>2175</v>
      </c>
      <c r="C146" s="4">
        <v>1</v>
      </c>
      <c r="D146" s="5">
        <v>50</v>
      </c>
      <c r="E146" s="4" t="s">
        <v>2176</v>
      </c>
      <c r="F146" s="3" t="s">
        <v>5540</v>
      </c>
      <c r="G146" s="7" t="s">
        <v>2177</v>
      </c>
      <c r="H146" s="3" t="s">
        <v>5842</v>
      </c>
      <c r="I146" s="3" t="s">
        <v>2178</v>
      </c>
      <c r="J146" s="3" t="s">
        <v>5536</v>
      </c>
      <c r="K146" s="3" t="s">
        <v>2179</v>
      </c>
      <c r="L146" s="8" t="str">
        <f>HYPERLINK("http://slimages.macys.com/is/image/MCY/14372494 ")</f>
        <v xml:space="preserve">http://slimages.macys.com/is/image/MCY/14372494 </v>
      </c>
    </row>
    <row r="147" spans="1:12" ht="24.75" x14ac:dyDescent="0.25">
      <c r="A147" s="6" t="s">
        <v>2180</v>
      </c>
      <c r="B147" s="3" t="s">
        <v>5975</v>
      </c>
      <c r="C147" s="4">
        <v>1</v>
      </c>
      <c r="D147" s="5">
        <v>54.99</v>
      </c>
      <c r="E147" s="4" t="s">
        <v>5976</v>
      </c>
      <c r="F147" s="3" t="s">
        <v>5977</v>
      </c>
      <c r="G147" s="7" t="s">
        <v>5596</v>
      </c>
      <c r="H147" s="3" t="s">
        <v>5978</v>
      </c>
      <c r="I147" s="3" t="s">
        <v>5979</v>
      </c>
      <c r="J147" s="3" t="s">
        <v>5536</v>
      </c>
      <c r="K147" s="3" t="s">
        <v>5980</v>
      </c>
      <c r="L147" s="8" t="str">
        <f>HYPERLINK("http://slimages.macys.com/is/image/MCY/14798059 ")</f>
        <v xml:space="preserve">http://slimages.macys.com/is/image/MCY/14798059 </v>
      </c>
    </row>
    <row r="148" spans="1:12" ht="24.75" x14ac:dyDescent="0.25">
      <c r="A148" s="6" t="s">
        <v>2181</v>
      </c>
      <c r="B148" s="3" t="s">
        <v>2182</v>
      </c>
      <c r="C148" s="4">
        <v>2</v>
      </c>
      <c r="D148" s="5">
        <v>92.4</v>
      </c>
      <c r="E148" s="4" t="s">
        <v>2183</v>
      </c>
      <c r="F148" s="3" t="s">
        <v>5625</v>
      </c>
      <c r="G148" s="7" t="s">
        <v>5898</v>
      </c>
      <c r="H148" s="3" t="s">
        <v>5842</v>
      </c>
      <c r="I148" s="3" t="s">
        <v>5904</v>
      </c>
      <c r="J148" s="3" t="s">
        <v>5536</v>
      </c>
      <c r="K148" s="3" t="s">
        <v>5984</v>
      </c>
      <c r="L148" s="8" t="str">
        <f>HYPERLINK("http://slimages.macys.com/is/image/MCY/14312195 ")</f>
        <v xml:space="preserve">http://slimages.macys.com/is/image/MCY/14312195 </v>
      </c>
    </row>
    <row r="149" spans="1:12" ht="24.75" x14ac:dyDescent="0.25">
      <c r="A149" s="6" t="s">
        <v>5981</v>
      </c>
      <c r="B149" s="3" t="s">
        <v>5982</v>
      </c>
      <c r="C149" s="4">
        <v>1</v>
      </c>
      <c r="D149" s="5">
        <v>46.2</v>
      </c>
      <c r="E149" s="4" t="s">
        <v>5983</v>
      </c>
      <c r="F149" s="3" t="s">
        <v>5540</v>
      </c>
      <c r="G149" s="7" t="s">
        <v>5898</v>
      </c>
      <c r="H149" s="3" t="s">
        <v>5842</v>
      </c>
      <c r="I149" s="3" t="s">
        <v>5904</v>
      </c>
      <c r="J149" s="3" t="s">
        <v>5536</v>
      </c>
      <c r="K149" s="3" t="s">
        <v>5984</v>
      </c>
      <c r="L149" s="8" t="str">
        <f>HYPERLINK("http://slimages.macys.com/is/image/MCY/14312268 ")</f>
        <v xml:space="preserve">http://slimages.macys.com/is/image/MCY/14312268 </v>
      </c>
    </row>
    <row r="150" spans="1:12" ht="24.75" x14ac:dyDescent="0.25">
      <c r="A150" s="6" t="s">
        <v>5985</v>
      </c>
      <c r="B150" s="3" t="s">
        <v>5986</v>
      </c>
      <c r="C150" s="4">
        <v>1</v>
      </c>
      <c r="D150" s="5">
        <v>46.2</v>
      </c>
      <c r="E150" s="4" t="s">
        <v>5987</v>
      </c>
      <c r="F150" s="3" t="s">
        <v>5540</v>
      </c>
      <c r="G150" s="7" t="s">
        <v>5898</v>
      </c>
      <c r="H150" s="3" t="s">
        <v>5842</v>
      </c>
      <c r="I150" s="3" t="s">
        <v>5904</v>
      </c>
      <c r="J150" s="3" t="s">
        <v>5536</v>
      </c>
      <c r="K150" s="3" t="s">
        <v>5984</v>
      </c>
      <c r="L150" s="8" t="str">
        <f>HYPERLINK("http://slimages.macys.com/is/image/MCY/14312374 ")</f>
        <v xml:space="preserve">http://slimages.macys.com/is/image/MCY/14312374 </v>
      </c>
    </row>
    <row r="151" spans="1:12" x14ac:dyDescent="0.25">
      <c r="A151" s="6" t="s">
        <v>2184</v>
      </c>
      <c r="B151" s="3" t="s">
        <v>2185</v>
      </c>
      <c r="C151" s="4">
        <v>1</v>
      </c>
      <c r="D151" s="5">
        <v>39.99</v>
      </c>
      <c r="E151" s="4" t="s">
        <v>2186</v>
      </c>
      <c r="F151" s="3" t="s">
        <v>6146</v>
      </c>
      <c r="G151" s="7" t="s">
        <v>5567</v>
      </c>
      <c r="H151" s="3" t="s">
        <v>5978</v>
      </c>
      <c r="I151" s="3" t="s">
        <v>5979</v>
      </c>
      <c r="J151" s="3" t="s">
        <v>5536</v>
      </c>
      <c r="K151" s="3" t="s">
        <v>5553</v>
      </c>
      <c r="L151" s="8" t="str">
        <f>HYPERLINK("http://slimages.macys.com/is/image/MCY/3343504 ")</f>
        <v xml:space="preserve">http://slimages.macys.com/is/image/MCY/3343504 </v>
      </c>
    </row>
    <row r="152" spans="1:12" ht="24.75" x14ac:dyDescent="0.25">
      <c r="A152" s="6" t="s">
        <v>2187</v>
      </c>
      <c r="B152" s="3" t="s">
        <v>2182</v>
      </c>
      <c r="C152" s="4">
        <v>2</v>
      </c>
      <c r="D152" s="5">
        <v>95.86</v>
      </c>
      <c r="E152" s="4" t="s">
        <v>2188</v>
      </c>
      <c r="F152" s="3" t="s">
        <v>6217</v>
      </c>
      <c r="G152" s="7" t="s">
        <v>5898</v>
      </c>
      <c r="H152" s="3" t="s">
        <v>5842</v>
      </c>
      <c r="I152" s="3" t="s">
        <v>5904</v>
      </c>
      <c r="J152" s="3" t="s">
        <v>5536</v>
      </c>
      <c r="K152" s="3" t="s">
        <v>5984</v>
      </c>
      <c r="L152" s="8" t="str">
        <f>HYPERLINK("http://slimages.macys.com/is/image/MCY/15723982 ")</f>
        <v xml:space="preserve">http://slimages.macys.com/is/image/MCY/15723982 </v>
      </c>
    </row>
    <row r="153" spans="1:12" ht="24.75" x14ac:dyDescent="0.25">
      <c r="A153" s="6" t="s">
        <v>2189</v>
      </c>
      <c r="B153" s="3" t="s">
        <v>2190</v>
      </c>
      <c r="C153" s="4">
        <v>1</v>
      </c>
      <c r="D153" s="5">
        <v>50</v>
      </c>
      <c r="E153" s="4" t="s">
        <v>2191</v>
      </c>
      <c r="F153" s="3" t="s">
        <v>5540</v>
      </c>
      <c r="G153" s="7" t="s">
        <v>5598</v>
      </c>
      <c r="H153" s="3" t="s">
        <v>6492</v>
      </c>
      <c r="I153" s="3" t="s">
        <v>6604</v>
      </c>
      <c r="J153" s="3" t="s">
        <v>5536</v>
      </c>
      <c r="K153" s="3" t="s">
        <v>5574</v>
      </c>
      <c r="L153" s="8" t="str">
        <f>HYPERLINK("http://slimages.macys.com/is/image/MCY/15122834 ")</f>
        <v xml:space="preserve">http://slimages.macys.com/is/image/MCY/15122834 </v>
      </c>
    </row>
    <row r="154" spans="1:12" ht="24.75" x14ac:dyDescent="0.25">
      <c r="A154" s="6" t="s">
        <v>2192</v>
      </c>
      <c r="B154" s="3" t="s">
        <v>2193</v>
      </c>
      <c r="C154" s="4">
        <v>1</v>
      </c>
      <c r="D154" s="5">
        <v>30</v>
      </c>
      <c r="E154" s="4">
        <v>1535781</v>
      </c>
      <c r="F154" s="3" t="s">
        <v>5815</v>
      </c>
      <c r="G154" s="7"/>
      <c r="H154" s="3" t="s">
        <v>5929</v>
      </c>
      <c r="I154" s="3" t="s">
        <v>5930</v>
      </c>
      <c r="J154" s="3"/>
      <c r="K154" s="3"/>
      <c r="L154" s="8" t="str">
        <f>HYPERLINK("http://slimages.macys.com/is/image/MCY/13035395 ")</f>
        <v xml:space="preserve">http://slimages.macys.com/is/image/MCY/13035395 </v>
      </c>
    </row>
    <row r="155" spans="1:12" ht="24.75" x14ac:dyDescent="0.25">
      <c r="A155" s="6" t="s">
        <v>2194</v>
      </c>
      <c r="B155" s="3" t="s">
        <v>2193</v>
      </c>
      <c r="C155" s="4">
        <v>1</v>
      </c>
      <c r="D155" s="5">
        <v>30</v>
      </c>
      <c r="E155" s="4">
        <v>1535781</v>
      </c>
      <c r="F155" s="3" t="s">
        <v>5815</v>
      </c>
      <c r="G155" s="7"/>
      <c r="H155" s="3" t="s">
        <v>5929</v>
      </c>
      <c r="I155" s="3" t="s">
        <v>5930</v>
      </c>
      <c r="J155" s="3"/>
      <c r="K155" s="3"/>
      <c r="L155" s="8" t="str">
        <f>HYPERLINK("http://slimages.macys.com/is/image/MCY/13035395 ")</f>
        <v xml:space="preserve">http://slimages.macys.com/is/image/MCY/13035395 </v>
      </c>
    </row>
    <row r="156" spans="1:12" ht="24.75" x14ac:dyDescent="0.25">
      <c r="A156" s="6" t="s">
        <v>2195</v>
      </c>
      <c r="B156" s="3" t="s">
        <v>2193</v>
      </c>
      <c r="C156" s="4">
        <v>2</v>
      </c>
      <c r="D156" s="5">
        <v>60</v>
      </c>
      <c r="E156" s="4">
        <v>1535781</v>
      </c>
      <c r="F156" s="3" t="s">
        <v>5815</v>
      </c>
      <c r="G156" s="7"/>
      <c r="H156" s="3" t="s">
        <v>5929</v>
      </c>
      <c r="I156" s="3" t="s">
        <v>5930</v>
      </c>
      <c r="J156" s="3"/>
      <c r="K156" s="3"/>
      <c r="L156" s="8" t="str">
        <f>HYPERLINK("http://slimages.macys.com/is/image/MCY/13035395 ")</f>
        <v xml:space="preserve">http://slimages.macys.com/is/image/MCY/13035395 </v>
      </c>
    </row>
    <row r="157" spans="1:12" ht="24.75" x14ac:dyDescent="0.25">
      <c r="A157" s="6" t="s">
        <v>6013</v>
      </c>
      <c r="B157" s="3" t="s">
        <v>6014</v>
      </c>
      <c r="C157" s="4">
        <v>1</v>
      </c>
      <c r="D157" s="5">
        <v>42</v>
      </c>
      <c r="E157" s="4" t="s">
        <v>6015</v>
      </c>
      <c r="F157" s="3" t="s">
        <v>5540</v>
      </c>
      <c r="G157" s="7" t="s">
        <v>5596</v>
      </c>
      <c r="H157" s="3" t="s">
        <v>5842</v>
      </c>
      <c r="I157" s="3" t="s">
        <v>5904</v>
      </c>
      <c r="J157" s="3" t="s">
        <v>5536</v>
      </c>
      <c r="K157" s="3" t="s">
        <v>5844</v>
      </c>
      <c r="L157" s="8" t="str">
        <f>HYPERLINK("http://slimages.macys.com/is/image/MCY/14618805 ")</f>
        <v xml:space="preserve">http://slimages.macys.com/is/image/MCY/14618805 </v>
      </c>
    </row>
    <row r="158" spans="1:12" ht="24.75" x14ac:dyDescent="0.25">
      <c r="A158" s="6" t="s">
        <v>2196</v>
      </c>
      <c r="B158" s="3" t="s">
        <v>4801</v>
      </c>
      <c r="C158" s="4">
        <v>1</v>
      </c>
      <c r="D158" s="5">
        <v>34.99</v>
      </c>
      <c r="E158" s="4" t="s">
        <v>4802</v>
      </c>
      <c r="F158" s="3" t="s">
        <v>5604</v>
      </c>
      <c r="G158" s="7" t="s">
        <v>5596</v>
      </c>
      <c r="H158" s="3" t="s">
        <v>6003</v>
      </c>
      <c r="I158" s="3" t="s">
        <v>6004</v>
      </c>
      <c r="J158" s="3" t="s">
        <v>5536</v>
      </c>
      <c r="K158" s="3" t="s">
        <v>4803</v>
      </c>
      <c r="L158" s="8" t="str">
        <f>HYPERLINK("http://slimages.macys.com/is/image/MCY/14766516 ")</f>
        <v xml:space="preserve">http://slimages.macys.com/is/image/MCY/14766516 </v>
      </c>
    </row>
    <row r="159" spans="1:12" x14ac:dyDescent="0.25">
      <c r="A159" s="6" t="s">
        <v>2197</v>
      </c>
      <c r="B159" s="3" t="s">
        <v>4031</v>
      </c>
      <c r="C159" s="4">
        <v>1</v>
      </c>
      <c r="D159" s="5">
        <v>49.5</v>
      </c>
      <c r="E159" s="4">
        <v>100033772</v>
      </c>
      <c r="F159" s="3" t="s">
        <v>5754</v>
      </c>
      <c r="G159" s="7" t="s">
        <v>5598</v>
      </c>
      <c r="H159" s="3" t="s">
        <v>5585</v>
      </c>
      <c r="I159" s="3" t="s">
        <v>5734</v>
      </c>
      <c r="J159" s="3" t="s">
        <v>5536</v>
      </c>
      <c r="K159" s="3" t="s">
        <v>5594</v>
      </c>
      <c r="L159" s="8" t="str">
        <f>HYPERLINK("http://slimages.macys.com/is/image/MCY/10217036 ")</f>
        <v xml:space="preserve">http://slimages.macys.com/is/image/MCY/10217036 </v>
      </c>
    </row>
    <row r="160" spans="1:12" x14ac:dyDescent="0.25">
      <c r="A160" s="6" t="s">
        <v>4806</v>
      </c>
      <c r="B160" s="3" t="s">
        <v>4031</v>
      </c>
      <c r="C160" s="4">
        <v>1</v>
      </c>
      <c r="D160" s="5">
        <v>49.5</v>
      </c>
      <c r="E160" s="4">
        <v>100033772</v>
      </c>
      <c r="F160" s="3" t="s">
        <v>5754</v>
      </c>
      <c r="G160" s="7" t="s">
        <v>5562</v>
      </c>
      <c r="H160" s="3" t="s">
        <v>5585</v>
      </c>
      <c r="I160" s="3" t="s">
        <v>5734</v>
      </c>
      <c r="J160" s="3" t="s">
        <v>5536</v>
      </c>
      <c r="K160" s="3" t="s">
        <v>5594</v>
      </c>
      <c r="L160" s="8" t="str">
        <f>HYPERLINK("http://slimages.macys.com/is/image/MCY/10217036 ")</f>
        <v xml:space="preserve">http://slimages.macys.com/is/image/MCY/10217036 </v>
      </c>
    </row>
    <row r="161" spans="1:12" x14ac:dyDescent="0.25">
      <c r="A161" s="6" t="s">
        <v>2198</v>
      </c>
      <c r="B161" s="3" t="s">
        <v>4031</v>
      </c>
      <c r="C161" s="4">
        <v>2</v>
      </c>
      <c r="D161" s="5">
        <v>99</v>
      </c>
      <c r="E161" s="4">
        <v>100033772</v>
      </c>
      <c r="F161" s="3" t="s">
        <v>5754</v>
      </c>
      <c r="G161" s="7" t="s">
        <v>5596</v>
      </c>
      <c r="H161" s="3" t="s">
        <v>5585</v>
      </c>
      <c r="I161" s="3" t="s">
        <v>5734</v>
      </c>
      <c r="J161" s="3" t="s">
        <v>5536</v>
      </c>
      <c r="K161" s="3" t="s">
        <v>5594</v>
      </c>
      <c r="L161" s="8" t="str">
        <f>HYPERLINK("http://slimages.macys.com/is/image/MCY/10217036 ")</f>
        <v xml:space="preserve">http://slimages.macys.com/is/image/MCY/10217036 </v>
      </c>
    </row>
    <row r="162" spans="1:12" ht="24.75" x14ac:dyDescent="0.25">
      <c r="A162" s="6" t="s">
        <v>2199</v>
      </c>
      <c r="B162" s="3" t="s">
        <v>2200</v>
      </c>
      <c r="C162" s="4">
        <v>1</v>
      </c>
      <c r="D162" s="5">
        <v>29.5</v>
      </c>
      <c r="E162" s="4">
        <v>1041210500273</v>
      </c>
      <c r="F162" s="3" t="s">
        <v>5532</v>
      </c>
      <c r="G162" s="7" t="s">
        <v>5562</v>
      </c>
      <c r="H162" s="3" t="s">
        <v>7206</v>
      </c>
      <c r="I162" s="3" t="s">
        <v>7207</v>
      </c>
      <c r="J162" s="3" t="s">
        <v>5536</v>
      </c>
      <c r="K162" s="3" t="s">
        <v>5549</v>
      </c>
      <c r="L162" s="8" t="str">
        <f>HYPERLINK("http://slimages.macys.com/is/image/MCY/12815442 ")</f>
        <v xml:space="preserve">http://slimages.macys.com/is/image/MCY/12815442 </v>
      </c>
    </row>
    <row r="163" spans="1:12" ht="24.75" x14ac:dyDescent="0.25">
      <c r="A163" s="6" t="s">
        <v>2201</v>
      </c>
      <c r="B163" s="3" t="s">
        <v>2202</v>
      </c>
      <c r="C163" s="4">
        <v>1</v>
      </c>
      <c r="D163" s="5">
        <v>30</v>
      </c>
      <c r="E163" s="4" t="s">
        <v>2203</v>
      </c>
      <c r="F163" s="3" t="s">
        <v>5552</v>
      </c>
      <c r="G163" s="7" t="s">
        <v>5560</v>
      </c>
      <c r="H163" s="3" t="s">
        <v>4379</v>
      </c>
      <c r="I163" s="3" t="s">
        <v>5296</v>
      </c>
      <c r="J163" s="3" t="s">
        <v>5536</v>
      </c>
      <c r="K163" s="3" t="s">
        <v>5727</v>
      </c>
      <c r="L163" s="8" t="str">
        <f>HYPERLINK("http://slimages.macys.com/is/image/MCY/11056974 ")</f>
        <v xml:space="preserve">http://slimages.macys.com/is/image/MCY/11056974 </v>
      </c>
    </row>
    <row r="164" spans="1:12" ht="24.75" x14ac:dyDescent="0.25">
      <c r="A164" s="6" t="s">
        <v>2204</v>
      </c>
      <c r="B164" s="3" t="s">
        <v>2205</v>
      </c>
      <c r="C164" s="4">
        <v>1</v>
      </c>
      <c r="D164" s="5">
        <v>36.99</v>
      </c>
      <c r="E164" s="4" t="s">
        <v>2206</v>
      </c>
      <c r="F164" s="3" t="s">
        <v>5566</v>
      </c>
      <c r="G164" s="7"/>
      <c r="H164" s="3" t="s">
        <v>6026</v>
      </c>
      <c r="I164" s="3" t="s">
        <v>6027</v>
      </c>
      <c r="J164" s="3" t="s">
        <v>5536</v>
      </c>
      <c r="K164" s="3" t="s">
        <v>5641</v>
      </c>
      <c r="L164" s="8" t="str">
        <f>HYPERLINK("http://slimages.macys.com/is/image/MCY/15953887 ")</f>
        <v xml:space="preserve">http://slimages.macys.com/is/image/MCY/15953887 </v>
      </c>
    </row>
    <row r="165" spans="1:12" ht="24.75" x14ac:dyDescent="0.25">
      <c r="A165" s="6" t="s">
        <v>2207</v>
      </c>
      <c r="B165" s="3" t="s">
        <v>6034</v>
      </c>
      <c r="C165" s="4">
        <v>1</v>
      </c>
      <c r="D165" s="5">
        <v>36.99</v>
      </c>
      <c r="E165" s="4" t="s">
        <v>2208</v>
      </c>
      <c r="F165" s="3" t="s">
        <v>5566</v>
      </c>
      <c r="G165" s="7" t="s">
        <v>5760</v>
      </c>
      <c r="H165" s="3" t="s">
        <v>6026</v>
      </c>
      <c r="I165" s="3" t="s">
        <v>6027</v>
      </c>
      <c r="J165" s="3" t="s">
        <v>5536</v>
      </c>
      <c r="K165" s="3" t="s">
        <v>5641</v>
      </c>
      <c r="L165" s="8" t="str">
        <f>HYPERLINK("http://slimages.macys.com/is/image/MCY/15796746 ")</f>
        <v xml:space="preserve">http://slimages.macys.com/is/image/MCY/15796746 </v>
      </c>
    </row>
    <row r="166" spans="1:12" ht="24.75" x14ac:dyDescent="0.25">
      <c r="A166" s="6" t="s">
        <v>2209</v>
      </c>
      <c r="B166" s="3" t="s">
        <v>6034</v>
      </c>
      <c r="C166" s="4">
        <v>2</v>
      </c>
      <c r="D166" s="5">
        <v>73.98</v>
      </c>
      <c r="E166" s="4" t="s">
        <v>6035</v>
      </c>
      <c r="F166" s="3" t="s">
        <v>5793</v>
      </c>
      <c r="G166" s="7" t="s">
        <v>6025</v>
      </c>
      <c r="H166" s="3" t="s">
        <v>6026</v>
      </c>
      <c r="I166" s="3" t="s">
        <v>6027</v>
      </c>
      <c r="J166" s="3" t="s">
        <v>5536</v>
      </c>
      <c r="K166" s="3" t="s">
        <v>5641</v>
      </c>
      <c r="L166" s="8" t="str">
        <f>HYPERLINK("http://slimages.macys.com/is/image/MCY/15797564 ")</f>
        <v xml:space="preserve">http://slimages.macys.com/is/image/MCY/15797564 </v>
      </c>
    </row>
    <row r="167" spans="1:12" ht="24.75" x14ac:dyDescent="0.25">
      <c r="A167" s="6" t="s">
        <v>6029</v>
      </c>
      <c r="B167" s="3" t="s">
        <v>6023</v>
      </c>
      <c r="C167" s="4">
        <v>1</v>
      </c>
      <c r="D167" s="5">
        <v>36.99</v>
      </c>
      <c r="E167" s="4" t="s">
        <v>6024</v>
      </c>
      <c r="F167" s="3" t="s">
        <v>5625</v>
      </c>
      <c r="G167" s="7" t="s">
        <v>5777</v>
      </c>
      <c r="H167" s="3" t="s">
        <v>6026</v>
      </c>
      <c r="I167" s="3" t="s">
        <v>6027</v>
      </c>
      <c r="J167" s="3" t="s">
        <v>5536</v>
      </c>
      <c r="K167" s="3" t="s">
        <v>5641</v>
      </c>
      <c r="L167" s="8" t="str">
        <f>HYPERLINK("http://slimages.macys.com/is/image/MCY/16260743 ")</f>
        <v xml:space="preserve">http://slimages.macys.com/is/image/MCY/16260743 </v>
      </c>
    </row>
    <row r="168" spans="1:12" ht="24.75" x14ac:dyDescent="0.25">
      <c r="A168" s="6" t="s">
        <v>2210</v>
      </c>
      <c r="B168" s="3" t="s">
        <v>6023</v>
      </c>
      <c r="C168" s="4">
        <v>1</v>
      </c>
      <c r="D168" s="5">
        <v>36.99</v>
      </c>
      <c r="E168" s="4" t="s">
        <v>6024</v>
      </c>
      <c r="F168" s="3" t="s">
        <v>5625</v>
      </c>
      <c r="G168" s="7" t="s">
        <v>5762</v>
      </c>
      <c r="H168" s="3" t="s">
        <v>6026</v>
      </c>
      <c r="I168" s="3" t="s">
        <v>6027</v>
      </c>
      <c r="J168" s="3" t="s">
        <v>5536</v>
      </c>
      <c r="K168" s="3" t="s">
        <v>5641</v>
      </c>
      <c r="L168" s="8" t="str">
        <f>HYPERLINK("http://slimages.macys.com/is/image/MCY/16260743 ")</f>
        <v xml:space="preserve">http://slimages.macys.com/is/image/MCY/16260743 </v>
      </c>
    </row>
    <row r="169" spans="1:12" ht="24.75" x14ac:dyDescent="0.25">
      <c r="A169" s="6" t="s">
        <v>2211</v>
      </c>
      <c r="B169" s="3" t="s">
        <v>6034</v>
      </c>
      <c r="C169" s="4">
        <v>2</v>
      </c>
      <c r="D169" s="5">
        <v>73.98</v>
      </c>
      <c r="E169" s="4" t="s">
        <v>6035</v>
      </c>
      <c r="F169" s="3" t="s">
        <v>5793</v>
      </c>
      <c r="G169" s="7" t="s">
        <v>5777</v>
      </c>
      <c r="H169" s="3" t="s">
        <v>6026</v>
      </c>
      <c r="I169" s="3" t="s">
        <v>6027</v>
      </c>
      <c r="J169" s="3" t="s">
        <v>5536</v>
      </c>
      <c r="K169" s="3" t="s">
        <v>5641</v>
      </c>
      <c r="L169" s="8" t="str">
        <f>HYPERLINK("http://slimages.macys.com/is/image/MCY/15797564 ")</f>
        <v xml:space="preserve">http://slimages.macys.com/is/image/MCY/15797564 </v>
      </c>
    </row>
    <row r="170" spans="1:12" ht="24.75" x14ac:dyDescent="0.25">
      <c r="A170" s="6" t="s">
        <v>2212</v>
      </c>
      <c r="B170" s="3" t="s">
        <v>6034</v>
      </c>
      <c r="C170" s="4">
        <v>1</v>
      </c>
      <c r="D170" s="5">
        <v>36.99</v>
      </c>
      <c r="E170" s="4" t="s">
        <v>2208</v>
      </c>
      <c r="F170" s="3" t="s">
        <v>5566</v>
      </c>
      <c r="G170" s="7"/>
      <c r="H170" s="3" t="s">
        <v>6026</v>
      </c>
      <c r="I170" s="3" t="s">
        <v>6027</v>
      </c>
      <c r="J170" s="3" t="s">
        <v>5536</v>
      </c>
      <c r="K170" s="3" t="s">
        <v>5641</v>
      </c>
      <c r="L170" s="8" t="str">
        <f>HYPERLINK("http://slimages.macys.com/is/image/MCY/14432806 ")</f>
        <v xml:space="preserve">http://slimages.macys.com/is/image/MCY/14432806 </v>
      </c>
    </row>
    <row r="171" spans="1:12" ht="24.75" x14ac:dyDescent="0.25">
      <c r="A171" s="6" t="s">
        <v>6038</v>
      </c>
      <c r="B171" s="3" t="s">
        <v>6034</v>
      </c>
      <c r="C171" s="4">
        <v>1</v>
      </c>
      <c r="D171" s="5">
        <v>36.99</v>
      </c>
      <c r="E171" s="4" t="s">
        <v>6035</v>
      </c>
      <c r="F171" s="3" t="s">
        <v>5793</v>
      </c>
      <c r="G171" s="7" t="s">
        <v>5755</v>
      </c>
      <c r="H171" s="3" t="s">
        <v>6026</v>
      </c>
      <c r="I171" s="3" t="s">
        <v>6027</v>
      </c>
      <c r="J171" s="3" t="s">
        <v>5536</v>
      </c>
      <c r="K171" s="3" t="s">
        <v>5641</v>
      </c>
      <c r="L171" s="8" t="str">
        <f>HYPERLINK("http://slimages.macys.com/is/image/MCY/15797564 ")</f>
        <v xml:space="preserve">http://slimages.macys.com/is/image/MCY/15797564 </v>
      </c>
    </row>
    <row r="172" spans="1:12" ht="24.75" x14ac:dyDescent="0.25">
      <c r="A172" s="6" t="s">
        <v>6033</v>
      </c>
      <c r="B172" s="3" t="s">
        <v>6034</v>
      </c>
      <c r="C172" s="4">
        <v>1</v>
      </c>
      <c r="D172" s="5">
        <v>36.99</v>
      </c>
      <c r="E172" s="4" t="s">
        <v>6035</v>
      </c>
      <c r="F172" s="3" t="s">
        <v>5793</v>
      </c>
      <c r="G172" s="7" t="s">
        <v>5764</v>
      </c>
      <c r="H172" s="3" t="s">
        <v>6026</v>
      </c>
      <c r="I172" s="3" t="s">
        <v>6027</v>
      </c>
      <c r="J172" s="3" t="s">
        <v>5536</v>
      </c>
      <c r="K172" s="3" t="s">
        <v>5641</v>
      </c>
      <c r="L172" s="8" t="str">
        <f>HYPERLINK("http://slimages.macys.com/is/image/MCY/15797564 ")</f>
        <v xml:space="preserve">http://slimages.macys.com/is/image/MCY/15797564 </v>
      </c>
    </row>
    <row r="173" spans="1:12" ht="24.75" x14ac:dyDescent="0.25">
      <c r="A173" s="6" t="s">
        <v>2213</v>
      </c>
      <c r="B173" s="3" t="s">
        <v>6034</v>
      </c>
      <c r="C173" s="4">
        <v>1</v>
      </c>
      <c r="D173" s="5">
        <v>36.99</v>
      </c>
      <c r="E173" s="4" t="s">
        <v>6035</v>
      </c>
      <c r="F173" s="3" t="s">
        <v>5793</v>
      </c>
      <c r="G173" s="7" t="s">
        <v>5766</v>
      </c>
      <c r="H173" s="3" t="s">
        <v>6026</v>
      </c>
      <c r="I173" s="3" t="s">
        <v>6027</v>
      </c>
      <c r="J173" s="3" t="s">
        <v>5536</v>
      </c>
      <c r="K173" s="3" t="s">
        <v>5641</v>
      </c>
      <c r="L173" s="8" t="str">
        <f>HYPERLINK("http://slimages.macys.com/is/image/MCY/15797564 ")</f>
        <v xml:space="preserve">http://slimages.macys.com/is/image/MCY/15797564 </v>
      </c>
    </row>
    <row r="174" spans="1:12" ht="24.75" x14ac:dyDescent="0.25">
      <c r="A174" s="6" t="s">
        <v>2214</v>
      </c>
      <c r="B174" s="3" t="s">
        <v>6023</v>
      </c>
      <c r="C174" s="4">
        <v>1</v>
      </c>
      <c r="D174" s="5">
        <v>36.99</v>
      </c>
      <c r="E174" s="4" t="s">
        <v>6024</v>
      </c>
      <c r="F174" s="3" t="s">
        <v>5625</v>
      </c>
      <c r="G174" s="7" t="s">
        <v>5779</v>
      </c>
      <c r="H174" s="3" t="s">
        <v>6026</v>
      </c>
      <c r="I174" s="3" t="s">
        <v>6027</v>
      </c>
      <c r="J174" s="3" t="s">
        <v>5536</v>
      </c>
      <c r="K174" s="3" t="s">
        <v>5641</v>
      </c>
      <c r="L174" s="8" t="str">
        <f>HYPERLINK("http://slimages.macys.com/is/image/MCY/16260743 ")</f>
        <v xml:space="preserve">http://slimages.macys.com/is/image/MCY/16260743 </v>
      </c>
    </row>
    <row r="175" spans="1:12" ht="24.75" x14ac:dyDescent="0.25">
      <c r="A175" s="6" t="s">
        <v>2215</v>
      </c>
      <c r="B175" s="3" t="s">
        <v>6034</v>
      </c>
      <c r="C175" s="4">
        <v>1</v>
      </c>
      <c r="D175" s="5">
        <v>36.99</v>
      </c>
      <c r="E175" s="4" t="s">
        <v>2208</v>
      </c>
      <c r="F175" s="3" t="s">
        <v>5566</v>
      </c>
      <c r="G175" s="7" t="s">
        <v>5779</v>
      </c>
      <c r="H175" s="3" t="s">
        <v>6026</v>
      </c>
      <c r="I175" s="3" t="s">
        <v>6027</v>
      </c>
      <c r="J175" s="3" t="s">
        <v>5536</v>
      </c>
      <c r="K175" s="3" t="s">
        <v>5641</v>
      </c>
      <c r="L175" s="8" t="str">
        <f>HYPERLINK("http://slimages.macys.com/is/image/MCY/15796746 ")</f>
        <v xml:space="preserve">http://slimages.macys.com/is/image/MCY/15796746 </v>
      </c>
    </row>
    <row r="176" spans="1:12" ht="24.75" x14ac:dyDescent="0.25">
      <c r="A176" s="6" t="s">
        <v>2216</v>
      </c>
      <c r="B176" s="3" t="s">
        <v>2217</v>
      </c>
      <c r="C176" s="4">
        <v>1</v>
      </c>
      <c r="D176" s="5">
        <v>35.99</v>
      </c>
      <c r="E176" s="4" t="s">
        <v>2218</v>
      </c>
      <c r="F176" s="3" t="s">
        <v>5540</v>
      </c>
      <c r="G176" s="7" t="s">
        <v>6862</v>
      </c>
      <c r="H176" s="3" t="s">
        <v>5892</v>
      </c>
      <c r="I176" s="3" t="s">
        <v>5893</v>
      </c>
      <c r="J176" s="3" t="s">
        <v>5536</v>
      </c>
      <c r="K176" s="3" t="s">
        <v>5574</v>
      </c>
      <c r="L176" s="8" t="str">
        <f>HYPERLINK("http://slimages.macys.com/is/image/MCY/14565202 ")</f>
        <v xml:space="preserve">http://slimages.macys.com/is/image/MCY/14565202 </v>
      </c>
    </row>
    <row r="177" spans="1:12" ht="24.75" x14ac:dyDescent="0.25">
      <c r="A177" s="6" t="s">
        <v>2219</v>
      </c>
      <c r="B177" s="3" t="s">
        <v>2220</v>
      </c>
      <c r="C177" s="4">
        <v>1</v>
      </c>
      <c r="D177" s="5">
        <v>36.99</v>
      </c>
      <c r="E177" s="4" t="s">
        <v>2221</v>
      </c>
      <c r="F177" s="3" t="s">
        <v>5793</v>
      </c>
      <c r="G177" s="7" t="s">
        <v>5582</v>
      </c>
      <c r="H177" s="3" t="s">
        <v>5892</v>
      </c>
      <c r="I177" s="3" t="s">
        <v>5893</v>
      </c>
      <c r="J177" s="3" t="s">
        <v>5536</v>
      </c>
      <c r="K177" s="3" t="s">
        <v>5574</v>
      </c>
      <c r="L177" s="8" t="str">
        <f>HYPERLINK("http://slimages.macys.com/is/image/MCY/14564193 ")</f>
        <v xml:space="preserve">http://slimages.macys.com/is/image/MCY/14564193 </v>
      </c>
    </row>
    <row r="178" spans="1:12" ht="24.75" x14ac:dyDescent="0.25">
      <c r="A178" s="6" t="s">
        <v>6037</v>
      </c>
      <c r="B178" s="3" t="s">
        <v>6034</v>
      </c>
      <c r="C178" s="4">
        <v>1</v>
      </c>
      <c r="D178" s="5">
        <v>36.99</v>
      </c>
      <c r="E178" s="4" t="s">
        <v>6035</v>
      </c>
      <c r="F178" s="3" t="s">
        <v>5793</v>
      </c>
      <c r="G178" s="7" t="s">
        <v>5768</v>
      </c>
      <c r="H178" s="3" t="s">
        <v>6026</v>
      </c>
      <c r="I178" s="3" t="s">
        <v>6027</v>
      </c>
      <c r="J178" s="3" t="s">
        <v>5536</v>
      </c>
      <c r="K178" s="3" t="s">
        <v>5641</v>
      </c>
      <c r="L178" s="8" t="str">
        <f>HYPERLINK("http://slimages.macys.com/is/image/MCY/15797564 ")</f>
        <v xml:space="preserve">http://slimages.macys.com/is/image/MCY/15797564 </v>
      </c>
    </row>
    <row r="179" spans="1:12" x14ac:dyDescent="0.25">
      <c r="A179" s="6" t="s">
        <v>2222</v>
      </c>
      <c r="B179" s="3" t="s">
        <v>3936</v>
      </c>
      <c r="C179" s="4">
        <v>1</v>
      </c>
      <c r="D179" s="5">
        <v>39.99</v>
      </c>
      <c r="E179" s="4" t="s">
        <v>3937</v>
      </c>
      <c r="F179" s="3" t="s">
        <v>6983</v>
      </c>
      <c r="G179" s="7" t="s">
        <v>5533</v>
      </c>
      <c r="H179" s="3" t="s">
        <v>6065</v>
      </c>
      <c r="I179" s="3" t="s">
        <v>6066</v>
      </c>
      <c r="J179" s="3" t="s">
        <v>5536</v>
      </c>
      <c r="K179" s="3" t="s">
        <v>5549</v>
      </c>
      <c r="L179" s="8" t="str">
        <f>HYPERLINK("http://slimages.macys.com/is/image/MCY/15503262 ")</f>
        <v xml:space="preserve">http://slimages.macys.com/is/image/MCY/15503262 </v>
      </c>
    </row>
    <row r="180" spans="1:12" x14ac:dyDescent="0.25">
      <c r="A180" s="6" t="s">
        <v>2223</v>
      </c>
      <c r="B180" s="3" t="s">
        <v>2224</v>
      </c>
      <c r="C180" s="4">
        <v>1</v>
      </c>
      <c r="D180" s="5">
        <v>37.99</v>
      </c>
      <c r="E180" s="4" t="s">
        <v>2225</v>
      </c>
      <c r="F180" s="3" t="s">
        <v>5532</v>
      </c>
      <c r="G180" s="7" t="s">
        <v>5560</v>
      </c>
      <c r="H180" s="3" t="s">
        <v>6065</v>
      </c>
      <c r="I180" s="3" t="s">
        <v>6066</v>
      </c>
      <c r="J180" s="3" t="s">
        <v>5536</v>
      </c>
      <c r="K180" s="3" t="s">
        <v>5594</v>
      </c>
      <c r="L180" s="8" t="str">
        <f>HYPERLINK("http://slimages.macys.com/is/image/MCY/14424295 ")</f>
        <v xml:space="preserve">http://slimages.macys.com/is/image/MCY/14424295 </v>
      </c>
    </row>
    <row r="181" spans="1:12" ht="24.75" x14ac:dyDescent="0.25">
      <c r="A181" s="6" t="s">
        <v>2226</v>
      </c>
      <c r="B181" s="3" t="s">
        <v>2227</v>
      </c>
      <c r="C181" s="4">
        <v>1</v>
      </c>
      <c r="D181" s="5">
        <v>33.99</v>
      </c>
      <c r="E181" s="4" t="s">
        <v>2228</v>
      </c>
      <c r="F181" s="3" t="s">
        <v>5540</v>
      </c>
      <c r="G181" s="7" t="s">
        <v>5582</v>
      </c>
      <c r="H181" s="3" t="s">
        <v>5892</v>
      </c>
      <c r="I181" s="3" t="s">
        <v>5893</v>
      </c>
      <c r="J181" s="3" t="s">
        <v>5536</v>
      </c>
      <c r="K181" s="3" t="s">
        <v>5594</v>
      </c>
      <c r="L181" s="8" t="str">
        <f>HYPERLINK("http://slimages.macys.com/is/image/MCY/14562557 ")</f>
        <v xml:space="preserve">http://slimages.macys.com/is/image/MCY/14562557 </v>
      </c>
    </row>
    <row r="182" spans="1:12" ht="24.75" x14ac:dyDescent="0.25">
      <c r="A182" s="6" t="s">
        <v>2229</v>
      </c>
      <c r="B182" s="3" t="s">
        <v>2230</v>
      </c>
      <c r="C182" s="4">
        <v>1</v>
      </c>
      <c r="D182" s="5">
        <v>40</v>
      </c>
      <c r="E182" s="4" t="s">
        <v>2231</v>
      </c>
      <c r="F182" s="3" t="s">
        <v>5540</v>
      </c>
      <c r="G182" s="7" t="s">
        <v>6491</v>
      </c>
      <c r="H182" s="3" t="s">
        <v>6019</v>
      </c>
      <c r="I182" s="3" t="s">
        <v>3918</v>
      </c>
      <c r="J182" s="3" t="s">
        <v>5536</v>
      </c>
      <c r="K182" s="3" t="s">
        <v>5549</v>
      </c>
      <c r="L182" s="8" t="str">
        <f>HYPERLINK("http://slimages.macys.com/is/image/MCY/15863314 ")</f>
        <v xml:space="preserve">http://slimages.macys.com/is/image/MCY/15863314 </v>
      </c>
    </row>
    <row r="183" spans="1:12" ht="24.75" x14ac:dyDescent="0.25">
      <c r="A183" s="6" t="s">
        <v>6079</v>
      </c>
      <c r="B183" s="3" t="s">
        <v>6080</v>
      </c>
      <c r="C183" s="4">
        <v>1</v>
      </c>
      <c r="D183" s="5">
        <v>38.46</v>
      </c>
      <c r="E183" s="4" t="s">
        <v>6081</v>
      </c>
      <c r="F183" s="3" t="s">
        <v>5661</v>
      </c>
      <c r="G183" s="7" t="s">
        <v>5898</v>
      </c>
      <c r="H183" s="3" t="s">
        <v>5842</v>
      </c>
      <c r="I183" s="3" t="s">
        <v>6082</v>
      </c>
      <c r="J183" s="3" t="s">
        <v>5536</v>
      </c>
      <c r="K183" s="3" t="s">
        <v>5984</v>
      </c>
      <c r="L183" s="8" t="str">
        <f>HYPERLINK("http://slimages.macys.com/is/image/MCY/14313585 ")</f>
        <v xml:space="preserve">http://slimages.macys.com/is/image/MCY/14313585 </v>
      </c>
    </row>
    <row r="184" spans="1:12" ht="24.75" x14ac:dyDescent="0.25">
      <c r="A184" s="6" t="s">
        <v>6083</v>
      </c>
      <c r="B184" s="3" t="s">
        <v>6084</v>
      </c>
      <c r="C184" s="4">
        <v>3</v>
      </c>
      <c r="D184" s="5">
        <v>115.38</v>
      </c>
      <c r="E184" s="4" t="s">
        <v>6085</v>
      </c>
      <c r="F184" s="3" t="s">
        <v>5540</v>
      </c>
      <c r="G184" s="7" t="s">
        <v>5898</v>
      </c>
      <c r="H184" s="3" t="s">
        <v>5842</v>
      </c>
      <c r="I184" s="3" t="s">
        <v>6082</v>
      </c>
      <c r="J184" s="3" t="s">
        <v>5536</v>
      </c>
      <c r="K184" s="3" t="s">
        <v>5984</v>
      </c>
      <c r="L184" s="8" t="str">
        <f>HYPERLINK("http://slimages.macys.com/is/image/MCY/15121454 ")</f>
        <v xml:space="preserve">http://slimages.macys.com/is/image/MCY/15121454 </v>
      </c>
    </row>
    <row r="185" spans="1:12" x14ac:dyDescent="0.25">
      <c r="A185" s="6" t="s">
        <v>2232</v>
      </c>
      <c r="B185" s="3" t="s">
        <v>2233</v>
      </c>
      <c r="C185" s="4">
        <v>1</v>
      </c>
      <c r="D185" s="5">
        <v>29.99</v>
      </c>
      <c r="E185" s="4">
        <v>729900000</v>
      </c>
      <c r="F185" s="3" t="s">
        <v>5783</v>
      </c>
      <c r="G185" s="7" t="s">
        <v>6170</v>
      </c>
      <c r="H185" s="3" t="s">
        <v>5807</v>
      </c>
      <c r="I185" s="3" t="s">
        <v>2234</v>
      </c>
      <c r="J185" s="3" t="s">
        <v>5536</v>
      </c>
      <c r="K185" s="3" t="s">
        <v>5558</v>
      </c>
      <c r="L185" s="8" t="str">
        <f>HYPERLINK("http://slimages.macys.com/is/image/MCY/11382329 ")</f>
        <v xml:space="preserve">http://slimages.macys.com/is/image/MCY/11382329 </v>
      </c>
    </row>
    <row r="186" spans="1:12" x14ac:dyDescent="0.25">
      <c r="A186" s="6" t="s">
        <v>2235</v>
      </c>
      <c r="B186" s="3" t="s">
        <v>2236</v>
      </c>
      <c r="C186" s="4">
        <v>1</v>
      </c>
      <c r="D186" s="5">
        <v>29.99</v>
      </c>
      <c r="E186" s="4" t="s">
        <v>2237</v>
      </c>
      <c r="F186" s="3" t="s">
        <v>5783</v>
      </c>
      <c r="G186" s="7" t="s">
        <v>5596</v>
      </c>
      <c r="H186" s="3" t="s">
        <v>6065</v>
      </c>
      <c r="I186" s="3" t="s">
        <v>6066</v>
      </c>
      <c r="J186" s="3" t="s">
        <v>5536</v>
      </c>
      <c r="K186" s="3" t="s">
        <v>5594</v>
      </c>
      <c r="L186" s="8" t="str">
        <f>HYPERLINK("http://slimages.macys.com/is/image/MCY/10449186 ")</f>
        <v xml:space="preserve">http://slimages.macys.com/is/image/MCY/10449186 </v>
      </c>
    </row>
    <row r="187" spans="1:12" ht="24.75" x14ac:dyDescent="0.25">
      <c r="A187" s="6" t="s">
        <v>2238</v>
      </c>
      <c r="B187" s="3" t="s">
        <v>2239</v>
      </c>
      <c r="C187" s="4">
        <v>1</v>
      </c>
      <c r="D187" s="5">
        <v>40</v>
      </c>
      <c r="E187" s="4" t="s">
        <v>2240</v>
      </c>
      <c r="F187" s="3" t="s">
        <v>5625</v>
      </c>
      <c r="G187" s="7" t="s">
        <v>5560</v>
      </c>
      <c r="H187" s="3" t="s">
        <v>6019</v>
      </c>
      <c r="I187" s="3" t="s">
        <v>6020</v>
      </c>
      <c r="J187" s="3" t="s">
        <v>5536</v>
      </c>
      <c r="K187" s="3" t="s">
        <v>5594</v>
      </c>
      <c r="L187" s="8" t="str">
        <f>HYPERLINK("http://slimages.macys.com/is/image/MCY/14725940 ")</f>
        <v xml:space="preserve">http://slimages.macys.com/is/image/MCY/14725940 </v>
      </c>
    </row>
    <row r="188" spans="1:12" ht="24.75" x14ac:dyDescent="0.25">
      <c r="A188" s="6" t="s">
        <v>3995</v>
      </c>
      <c r="B188" s="3" t="s">
        <v>3989</v>
      </c>
      <c r="C188" s="4">
        <v>2</v>
      </c>
      <c r="D188" s="5">
        <v>100</v>
      </c>
      <c r="E188" s="4" t="s">
        <v>3990</v>
      </c>
      <c r="F188" s="3" t="s">
        <v>5540</v>
      </c>
      <c r="G188" s="7" t="s">
        <v>5579</v>
      </c>
      <c r="H188" s="3" t="s">
        <v>6019</v>
      </c>
      <c r="I188" s="3" t="s">
        <v>3918</v>
      </c>
      <c r="J188" s="3" t="s">
        <v>5536</v>
      </c>
      <c r="K188" s="3" t="s">
        <v>5594</v>
      </c>
      <c r="L188" s="8" t="str">
        <f t="shared" ref="L188:L198" si="1">HYPERLINK("http://slimages.macys.com/is/image/MCY/16191092 ")</f>
        <v xml:space="preserve">http://slimages.macys.com/is/image/MCY/16191092 </v>
      </c>
    </row>
    <row r="189" spans="1:12" ht="24.75" x14ac:dyDescent="0.25">
      <c r="A189" s="6" t="s">
        <v>3992</v>
      </c>
      <c r="B189" s="3" t="s">
        <v>3989</v>
      </c>
      <c r="C189" s="4">
        <v>1</v>
      </c>
      <c r="D189" s="5">
        <v>50</v>
      </c>
      <c r="E189" s="4" t="s">
        <v>3990</v>
      </c>
      <c r="F189" s="3" t="s">
        <v>5540</v>
      </c>
      <c r="G189" s="7" t="s">
        <v>5648</v>
      </c>
      <c r="H189" s="3" t="s">
        <v>6019</v>
      </c>
      <c r="I189" s="3" t="s">
        <v>3918</v>
      </c>
      <c r="J189" s="3" t="s">
        <v>5536</v>
      </c>
      <c r="K189" s="3" t="s">
        <v>5594</v>
      </c>
      <c r="L189" s="8" t="str">
        <f t="shared" si="1"/>
        <v xml:space="preserve">http://slimages.macys.com/is/image/MCY/16191092 </v>
      </c>
    </row>
    <row r="190" spans="1:12" ht="24.75" x14ac:dyDescent="0.25">
      <c r="A190" s="6" t="s">
        <v>4000</v>
      </c>
      <c r="B190" s="3" t="s">
        <v>3989</v>
      </c>
      <c r="C190" s="4">
        <v>1</v>
      </c>
      <c r="D190" s="5">
        <v>50</v>
      </c>
      <c r="E190" s="4" t="s">
        <v>3990</v>
      </c>
      <c r="F190" s="3" t="s">
        <v>5540</v>
      </c>
      <c r="G190" s="7" t="s">
        <v>5626</v>
      </c>
      <c r="H190" s="3" t="s">
        <v>6019</v>
      </c>
      <c r="I190" s="3" t="s">
        <v>3918</v>
      </c>
      <c r="J190" s="3" t="s">
        <v>5536</v>
      </c>
      <c r="K190" s="3" t="s">
        <v>5594</v>
      </c>
      <c r="L190" s="8" t="str">
        <f t="shared" si="1"/>
        <v xml:space="preserve">http://slimages.macys.com/is/image/MCY/16191092 </v>
      </c>
    </row>
    <row r="191" spans="1:12" ht="24.75" x14ac:dyDescent="0.25">
      <c r="A191" s="6" t="s">
        <v>3993</v>
      </c>
      <c r="B191" s="3" t="s">
        <v>3989</v>
      </c>
      <c r="C191" s="4">
        <v>1</v>
      </c>
      <c r="D191" s="5">
        <v>50</v>
      </c>
      <c r="E191" s="4" t="s">
        <v>3990</v>
      </c>
      <c r="F191" s="3" t="s">
        <v>5540</v>
      </c>
      <c r="G191" s="7" t="s">
        <v>5672</v>
      </c>
      <c r="H191" s="3" t="s">
        <v>6019</v>
      </c>
      <c r="I191" s="3" t="s">
        <v>3918</v>
      </c>
      <c r="J191" s="3" t="s">
        <v>5536</v>
      </c>
      <c r="K191" s="3" t="s">
        <v>5594</v>
      </c>
      <c r="L191" s="8" t="str">
        <f t="shared" si="1"/>
        <v xml:space="preserve">http://slimages.macys.com/is/image/MCY/16191092 </v>
      </c>
    </row>
    <row r="192" spans="1:12" ht="24.75" x14ac:dyDescent="0.25">
      <c r="A192" s="6" t="s">
        <v>2241</v>
      </c>
      <c r="B192" s="3" t="s">
        <v>3989</v>
      </c>
      <c r="C192" s="4">
        <v>1</v>
      </c>
      <c r="D192" s="5">
        <v>50</v>
      </c>
      <c r="E192" s="4" t="s">
        <v>3990</v>
      </c>
      <c r="F192" s="3" t="s">
        <v>5540</v>
      </c>
      <c r="G192" s="7" t="s">
        <v>5631</v>
      </c>
      <c r="H192" s="3" t="s">
        <v>6019</v>
      </c>
      <c r="I192" s="3" t="s">
        <v>3918</v>
      </c>
      <c r="J192" s="3" t="s">
        <v>5536</v>
      </c>
      <c r="K192" s="3" t="s">
        <v>5594</v>
      </c>
      <c r="L192" s="8" t="str">
        <f t="shared" si="1"/>
        <v xml:space="preserve">http://slimages.macys.com/is/image/MCY/16191092 </v>
      </c>
    </row>
    <row r="193" spans="1:12" ht="24.75" x14ac:dyDescent="0.25">
      <c r="A193" s="6" t="s">
        <v>2242</v>
      </c>
      <c r="B193" s="3" t="s">
        <v>3989</v>
      </c>
      <c r="C193" s="4">
        <v>1</v>
      </c>
      <c r="D193" s="5">
        <v>50</v>
      </c>
      <c r="E193" s="4" t="s">
        <v>3990</v>
      </c>
      <c r="F193" s="3" t="s">
        <v>5540</v>
      </c>
      <c r="G193" s="7" t="s">
        <v>5662</v>
      </c>
      <c r="H193" s="3" t="s">
        <v>6019</v>
      </c>
      <c r="I193" s="3" t="s">
        <v>3918</v>
      </c>
      <c r="J193" s="3" t="s">
        <v>5536</v>
      </c>
      <c r="K193" s="3" t="s">
        <v>5594</v>
      </c>
      <c r="L193" s="8" t="str">
        <f t="shared" si="1"/>
        <v xml:space="preserve">http://slimages.macys.com/is/image/MCY/16191092 </v>
      </c>
    </row>
    <row r="194" spans="1:12" ht="24.75" x14ac:dyDescent="0.25">
      <c r="A194" s="6" t="s">
        <v>3998</v>
      </c>
      <c r="B194" s="3" t="s">
        <v>3989</v>
      </c>
      <c r="C194" s="4">
        <v>1</v>
      </c>
      <c r="D194" s="5">
        <v>50</v>
      </c>
      <c r="E194" s="4" t="s">
        <v>3990</v>
      </c>
      <c r="F194" s="3" t="s">
        <v>5540</v>
      </c>
      <c r="G194" s="7" t="s">
        <v>5567</v>
      </c>
      <c r="H194" s="3" t="s">
        <v>6019</v>
      </c>
      <c r="I194" s="3" t="s">
        <v>3918</v>
      </c>
      <c r="J194" s="3" t="s">
        <v>5536</v>
      </c>
      <c r="K194" s="3" t="s">
        <v>5594</v>
      </c>
      <c r="L194" s="8" t="str">
        <f t="shared" si="1"/>
        <v xml:space="preserve">http://slimages.macys.com/is/image/MCY/16191092 </v>
      </c>
    </row>
    <row r="195" spans="1:12" ht="24.75" x14ac:dyDescent="0.25">
      <c r="A195" s="6" t="s">
        <v>3996</v>
      </c>
      <c r="B195" s="3" t="s">
        <v>3989</v>
      </c>
      <c r="C195" s="4">
        <v>1</v>
      </c>
      <c r="D195" s="5">
        <v>50</v>
      </c>
      <c r="E195" s="4" t="s">
        <v>3990</v>
      </c>
      <c r="F195" s="3" t="s">
        <v>5540</v>
      </c>
      <c r="G195" s="7" t="s">
        <v>5605</v>
      </c>
      <c r="H195" s="3" t="s">
        <v>6019</v>
      </c>
      <c r="I195" s="3" t="s">
        <v>3918</v>
      </c>
      <c r="J195" s="3" t="s">
        <v>5536</v>
      </c>
      <c r="K195" s="3" t="s">
        <v>5594</v>
      </c>
      <c r="L195" s="8" t="str">
        <f t="shared" si="1"/>
        <v xml:space="preserve">http://slimages.macys.com/is/image/MCY/16191092 </v>
      </c>
    </row>
    <row r="196" spans="1:12" ht="24.75" x14ac:dyDescent="0.25">
      <c r="A196" s="6" t="s">
        <v>3997</v>
      </c>
      <c r="B196" s="3" t="s">
        <v>3989</v>
      </c>
      <c r="C196" s="4">
        <v>1</v>
      </c>
      <c r="D196" s="5">
        <v>50</v>
      </c>
      <c r="E196" s="4" t="s">
        <v>3990</v>
      </c>
      <c r="F196" s="3" t="s">
        <v>5540</v>
      </c>
      <c r="G196" s="7" t="s">
        <v>5557</v>
      </c>
      <c r="H196" s="3" t="s">
        <v>6019</v>
      </c>
      <c r="I196" s="3" t="s">
        <v>3918</v>
      </c>
      <c r="J196" s="3" t="s">
        <v>5536</v>
      </c>
      <c r="K196" s="3" t="s">
        <v>5594</v>
      </c>
      <c r="L196" s="8" t="str">
        <f t="shared" si="1"/>
        <v xml:space="preserve">http://slimages.macys.com/is/image/MCY/16191092 </v>
      </c>
    </row>
    <row r="197" spans="1:12" ht="24.75" x14ac:dyDescent="0.25">
      <c r="A197" s="6" t="s">
        <v>2243</v>
      </c>
      <c r="B197" s="3" t="s">
        <v>3989</v>
      </c>
      <c r="C197" s="4">
        <v>1</v>
      </c>
      <c r="D197" s="5">
        <v>50</v>
      </c>
      <c r="E197" s="4" t="s">
        <v>3990</v>
      </c>
      <c r="F197" s="3" t="s">
        <v>5540</v>
      </c>
      <c r="G197" s="7" t="s">
        <v>5685</v>
      </c>
      <c r="H197" s="3" t="s">
        <v>6019</v>
      </c>
      <c r="I197" s="3" t="s">
        <v>3918</v>
      </c>
      <c r="J197" s="3" t="s">
        <v>5536</v>
      </c>
      <c r="K197" s="3" t="s">
        <v>5594</v>
      </c>
      <c r="L197" s="8" t="str">
        <f t="shared" si="1"/>
        <v xml:space="preserve">http://slimages.macys.com/is/image/MCY/16191092 </v>
      </c>
    </row>
    <row r="198" spans="1:12" ht="24.75" x14ac:dyDescent="0.25">
      <c r="A198" s="6" t="s">
        <v>2244</v>
      </c>
      <c r="B198" s="3" t="s">
        <v>3989</v>
      </c>
      <c r="C198" s="4">
        <v>1</v>
      </c>
      <c r="D198" s="5">
        <v>50</v>
      </c>
      <c r="E198" s="4" t="s">
        <v>3990</v>
      </c>
      <c r="F198" s="3" t="s">
        <v>5540</v>
      </c>
      <c r="G198" s="7" t="s">
        <v>5680</v>
      </c>
      <c r="H198" s="3" t="s">
        <v>6019</v>
      </c>
      <c r="I198" s="3" t="s">
        <v>3918</v>
      </c>
      <c r="J198" s="3" t="s">
        <v>5536</v>
      </c>
      <c r="K198" s="3" t="s">
        <v>5594</v>
      </c>
      <c r="L198" s="8" t="str">
        <f t="shared" si="1"/>
        <v xml:space="preserve">http://slimages.macys.com/is/image/MCY/16191092 </v>
      </c>
    </row>
    <row r="199" spans="1:12" ht="24.75" x14ac:dyDescent="0.25">
      <c r="A199" s="6" t="s">
        <v>2245</v>
      </c>
      <c r="B199" s="3" t="s">
        <v>2246</v>
      </c>
      <c r="C199" s="4">
        <v>1</v>
      </c>
      <c r="D199" s="5">
        <v>59.5</v>
      </c>
      <c r="E199" s="4">
        <v>100066558</v>
      </c>
      <c r="F199" s="3" t="s">
        <v>5540</v>
      </c>
      <c r="G199" s="7" t="s">
        <v>5562</v>
      </c>
      <c r="H199" s="3" t="s">
        <v>5585</v>
      </c>
      <c r="I199" s="3" t="s">
        <v>5734</v>
      </c>
      <c r="J199" s="3" t="s">
        <v>5536</v>
      </c>
      <c r="K199" s="3" t="s">
        <v>2247</v>
      </c>
      <c r="L199" s="8" t="str">
        <f>HYPERLINK("http://slimages.macys.com/is/image/MCY/14572414 ")</f>
        <v xml:space="preserve">http://slimages.macys.com/is/image/MCY/14572414 </v>
      </c>
    </row>
    <row r="200" spans="1:12" ht="24.75" x14ac:dyDescent="0.25">
      <c r="A200" s="6" t="s">
        <v>4816</v>
      </c>
      <c r="B200" s="3" t="s">
        <v>4817</v>
      </c>
      <c r="C200" s="4">
        <v>1</v>
      </c>
      <c r="D200" s="5">
        <v>30</v>
      </c>
      <c r="E200" s="4" t="s">
        <v>4818</v>
      </c>
      <c r="F200" s="3" t="s">
        <v>6146</v>
      </c>
      <c r="G200" s="7" t="s">
        <v>5560</v>
      </c>
      <c r="H200" s="3" t="s">
        <v>4819</v>
      </c>
      <c r="I200" s="3" t="s">
        <v>4820</v>
      </c>
      <c r="J200" s="3" t="s">
        <v>5536</v>
      </c>
      <c r="K200" s="3" t="s">
        <v>5549</v>
      </c>
      <c r="L200" s="8" t="str">
        <f>HYPERLINK("http://slimages.macys.com/is/image/MCY/15146052 ")</f>
        <v xml:space="preserve">http://slimages.macys.com/is/image/MCY/15146052 </v>
      </c>
    </row>
    <row r="201" spans="1:12" ht="24.75" x14ac:dyDescent="0.25">
      <c r="A201" s="6" t="s">
        <v>2248</v>
      </c>
      <c r="B201" s="3" t="s">
        <v>2249</v>
      </c>
      <c r="C201" s="4">
        <v>1</v>
      </c>
      <c r="D201" s="5">
        <v>45</v>
      </c>
      <c r="E201" s="4">
        <v>10008067100</v>
      </c>
      <c r="F201" s="3" t="s">
        <v>5566</v>
      </c>
      <c r="G201" s="7" t="s">
        <v>5533</v>
      </c>
      <c r="H201" s="3" t="s">
        <v>3941</v>
      </c>
      <c r="I201" s="3" t="s">
        <v>3942</v>
      </c>
      <c r="J201" s="3" t="s">
        <v>5536</v>
      </c>
      <c r="K201" s="3" t="s">
        <v>5727</v>
      </c>
      <c r="L201" s="8" t="str">
        <f>HYPERLINK("http://slimages.macys.com/is/image/MCY/15671562 ")</f>
        <v xml:space="preserve">http://slimages.macys.com/is/image/MCY/15671562 </v>
      </c>
    </row>
    <row r="202" spans="1:12" ht="24.75" x14ac:dyDescent="0.25">
      <c r="A202" s="6" t="s">
        <v>2250</v>
      </c>
      <c r="B202" s="3" t="s">
        <v>4817</v>
      </c>
      <c r="C202" s="4">
        <v>1</v>
      </c>
      <c r="D202" s="5">
        <v>30</v>
      </c>
      <c r="E202" s="4" t="s">
        <v>4818</v>
      </c>
      <c r="F202" s="3" t="s">
        <v>6146</v>
      </c>
      <c r="G202" s="7" t="s">
        <v>5598</v>
      </c>
      <c r="H202" s="3" t="s">
        <v>4819</v>
      </c>
      <c r="I202" s="3" t="s">
        <v>4820</v>
      </c>
      <c r="J202" s="3" t="s">
        <v>5536</v>
      </c>
      <c r="K202" s="3" t="s">
        <v>5549</v>
      </c>
      <c r="L202" s="8" t="str">
        <f>HYPERLINK("http://slimages.macys.com/is/image/MCY/15146052 ")</f>
        <v xml:space="preserve">http://slimages.macys.com/is/image/MCY/15146052 </v>
      </c>
    </row>
    <row r="203" spans="1:12" ht="24.75" x14ac:dyDescent="0.25">
      <c r="A203" s="6" t="s">
        <v>2251</v>
      </c>
      <c r="B203" s="3" t="s">
        <v>2252</v>
      </c>
      <c r="C203" s="4">
        <v>1</v>
      </c>
      <c r="D203" s="5">
        <v>30</v>
      </c>
      <c r="E203" s="4" t="s">
        <v>2253</v>
      </c>
      <c r="F203" s="3" t="s">
        <v>5625</v>
      </c>
      <c r="G203" s="7" t="s">
        <v>5562</v>
      </c>
      <c r="H203" s="3" t="s">
        <v>4819</v>
      </c>
      <c r="I203" s="3" t="s">
        <v>4820</v>
      </c>
      <c r="J203" s="3" t="s">
        <v>5536</v>
      </c>
      <c r="K203" s="3" t="s">
        <v>5727</v>
      </c>
      <c r="L203" s="8" t="str">
        <f>HYPERLINK("http://slimages.macys.com/is/image/MCY/11515494 ")</f>
        <v xml:space="preserve">http://slimages.macys.com/is/image/MCY/11515494 </v>
      </c>
    </row>
    <row r="204" spans="1:12" ht="36.75" x14ac:dyDescent="0.25">
      <c r="A204" s="6" t="s">
        <v>6093</v>
      </c>
      <c r="B204" s="3" t="s">
        <v>6094</v>
      </c>
      <c r="C204" s="4">
        <v>1</v>
      </c>
      <c r="D204" s="5">
        <v>36.25</v>
      </c>
      <c r="E204" s="4" t="s">
        <v>6095</v>
      </c>
      <c r="F204" s="3" t="s">
        <v>5540</v>
      </c>
      <c r="G204" s="7" t="s">
        <v>5596</v>
      </c>
      <c r="H204" s="3" t="s">
        <v>5842</v>
      </c>
      <c r="I204" s="3" t="s">
        <v>5843</v>
      </c>
      <c r="J204" s="3" t="s">
        <v>5536</v>
      </c>
      <c r="K204" s="3" t="s">
        <v>6096</v>
      </c>
      <c r="L204" s="8" t="str">
        <f>HYPERLINK("http://slimages.macys.com/is/image/MCY/14507447 ")</f>
        <v xml:space="preserve">http://slimages.macys.com/is/image/MCY/14507447 </v>
      </c>
    </row>
    <row r="205" spans="1:12" ht="24.75" x14ac:dyDescent="0.25">
      <c r="A205" s="6" t="s">
        <v>2254</v>
      </c>
      <c r="B205" s="3" t="s">
        <v>2255</v>
      </c>
      <c r="C205" s="4">
        <v>1</v>
      </c>
      <c r="D205" s="5">
        <v>38</v>
      </c>
      <c r="E205" s="4">
        <v>92149</v>
      </c>
      <c r="F205" s="3" t="s">
        <v>5625</v>
      </c>
      <c r="G205" s="7" t="s">
        <v>2256</v>
      </c>
      <c r="H205" s="3" t="s">
        <v>5842</v>
      </c>
      <c r="I205" s="3" t="s">
        <v>5843</v>
      </c>
      <c r="J205" s="3" t="s">
        <v>5536</v>
      </c>
      <c r="K205" s="3" t="s">
        <v>2257</v>
      </c>
      <c r="L205" s="8" t="str">
        <f>HYPERLINK("http://slimages.macys.com/is/image/MCY/12055128 ")</f>
        <v xml:space="preserve">http://slimages.macys.com/is/image/MCY/12055128 </v>
      </c>
    </row>
    <row r="206" spans="1:12" ht="24.75" x14ac:dyDescent="0.25">
      <c r="A206" s="6" t="s">
        <v>2258</v>
      </c>
      <c r="B206" s="3" t="s">
        <v>2259</v>
      </c>
      <c r="C206" s="4">
        <v>1</v>
      </c>
      <c r="D206" s="5">
        <v>45</v>
      </c>
      <c r="E206" s="4">
        <v>10006345700</v>
      </c>
      <c r="F206" s="3" t="s">
        <v>6275</v>
      </c>
      <c r="G206" s="7" t="s">
        <v>5533</v>
      </c>
      <c r="H206" s="3" t="s">
        <v>3941</v>
      </c>
      <c r="I206" s="3" t="s">
        <v>3942</v>
      </c>
      <c r="J206" s="3" t="s">
        <v>5536</v>
      </c>
      <c r="K206" s="3" t="s">
        <v>5727</v>
      </c>
      <c r="L206" s="8" t="str">
        <f>HYPERLINK("http://slimages.macys.com/is/image/MCY/14859972 ")</f>
        <v xml:space="preserve">http://slimages.macys.com/is/image/MCY/14859972 </v>
      </c>
    </row>
    <row r="207" spans="1:12" ht="24.75" x14ac:dyDescent="0.25">
      <c r="A207" s="6" t="s">
        <v>2260</v>
      </c>
      <c r="B207" s="3" t="s">
        <v>2261</v>
      </c>
      <c r="C207" s="4">
        <v>1</v>
      </c>
      <c r="D207" s="5">
        <v>28.94</v>
      </c>
      <c r="E207" s="4" t="s">
        <v>2262</v>
      </c>
      <c r="F207" s="3" t="s">
        <v>5783</v>
      </c>
      <c r="G207" s="7" t="s">
        <v>5598</v>
      </c>
      <c r="H207" s="3" t="s">
        <v>2263</v>
      </c>
      <c r="I207" s="3" t="s">
        <v>2264</v>
      </c>
      <c r="J207" s="3" t="s">
        <v>5536</v>
      </c>
      <c r="K207" s="3" t="s">
        <v>5727</v>
      </c>
      <c r="L207" s="8" t="str">
        <f>HYPERLINK("http://slimages.macys.com/is/image/MCY/11859229 ")</f>
        <v xml:space="preserve">http://slimages.macys.com/is/image/MCY/11859229 </v>
      </c>
    </row>
    <row r="208" spans="1:12" ht="24.75" x14ac:dyDescent="0.25">
      <c r="A208" s="6" t="s">
        <v>2265</v>
      </c>
      <c r="B208" s="3" t="s">
        <v>2266</v>
      </c>
      <c r="C208" s="4">
        <v>1</v>
      </c>
      <c r="D208" s="5">
        <v>45</v>
      </c>
      <c r="E208" s="4" t="s">
        <v>2267</v>
      </c>
      <c r="F208" s="3" t="s">
        <v>5661</v>
      </c>
      <c r="G208" s="7" t="s">
        <v>5596</v>
      </c>
      <c r="H208" s="3" t="s">
        <v>6019</v>
      </c>
      <c r="I208" s="3" t="s">
        <v>6020</v>
      </c>
      <c r="J208" s="3" t="s">
        <v>5536</v>
      </c>
      <c r="K208" s="3" t="s">
        <v>5549</v>
      </c>
      <c r="L208" s="8" t="str">
        <f>HYPERLINK("http://slimages.macys.com/is/image/MCY/13290465 ")</f>
        <v xml:space="preserve">http://slimages.macys.com/is/image/MCY/13290465 </v>
      </c>
    </row>
    <row r="209" spans="1:12" ht="24.75" x14ac:dyDescent="0.25">
      <c r="A209" s="6" t="s">
        <v>2268</v>
      </c>
      <c r="B209" s="3" t="s">
        <v>2269</v>
      </c>
      <c r="C209" s="4">
        <v>1</v>
      </c>
      <c r="D209" s="5">
        <v>25</v>
      </c>
      <c r="E209" s="4" t="s">
        <v>2270</v>
      </c>
      <c r="F209" s="3" t="s">
        <v>5925</v>
      </c>
      <c r="G209" s="7" t="s">
        <v>5533</v>
      </c>
      <c r="H209" s="3" t="s">
        <v>4379</v>
      </c>
      <c r="I209" s="3" t="s">
        <v>5296</v>
      </c>
      <c r="J209" s="3" t="s">
        <v>5536</v>
      </c>
      <c r="K209" s="3" t="s">
        <v>5574</v>
      </c>
      <c r="L209" s="8" t="str">
        <f>HYPERLINK("http://slimages.macys.com/is/image/MCY/13758988 ")</f>
        <v xml:space="preserve">http://slimages.macys.com/is/image/MCY/13758988 </v>
      </c>
    </row>
    <row r="210" spans="1:12" ht="24.75" x14ac:dyDescent="0.25">
      <c r="A210" s="6" t="s">
        <v>2271</v>
      </c>
      <c r="B210" s="3" t="s">
        <v>2272</v>
      </c>
      <c r="C210" s="4">
        <v>1</v>
      </c>
      <c r="D210" s="5">
        <v>25</v>
      </c>
      <c r="E210" s="4" t="s">
        <v>2273</v>
      </c>
      <c r="F210" s="3" t="s">
        <v>5803</v>
      </c>
      <c r="G210" s="7" t="s">
        <v>5533</v>
      </c>
      <c r="H210" s="3" t="s">
        <v>4379</v>
      </c>
      <c r="I210" s="3" t="s">
        <v>5296</v>
      </c>
      <c r="J210" s="3" t="s">
        <v>5536</v>
      </c>
      <c r="K210" s="3" t="s">
        <v>5594</v>
      </c>
      <c r="L210" s="8" t="str">
        <f>HYPERLINK("http://slimages.macys.com/is/image/MCY/13746700 ")</f>
        <v xml:space="preserve">http://slimages.macys.com/is/image/MCY/13746700 </v>
      </c>
    </row>
    <row r="211" spans="1:12" x14ac:dyDescent="0.25">
      <c r="A211" s="6" t="s">
        <v>2274</v>
      </c>
      <c r="B211" s="3" t="s">
        <v>2275</v>
      </c>
      <c r="C211" s="4">
        <v>1</v>
      </c>
      <c r="D211" s="5">
        <v>25</v>
      </c>
      <c r="E211" s="4" t="s">
        <v>2276</v>
      </c>
      <c r="F211" s="3" t="s">
        <v>4724</v>
      </c>
      <c r="G211" s="7" t="s">
        <v>5596</v>
      </c>
      <c r="H211" s="3" t="s">
        <v>4379</v>
      </c>
      <c r="I211" s="3" t="s">
        <v>5296</v>
      </c>
      <c r="J211" s="3" t="s">
        <v>5536</v>
      </c>
      <c r="K211" s="3" t="s">
        <v>5574</v>
      </c>
      <c r="L211" s="8" t="str">
        <f>HYPERLINK("http://slimages.macys.com/is/image/MCY/11523939 ")</f>
        <v xml:space="preserve">http://slimages.macys.com/is/image/MCY/11523939 </v>
      </c>
    </row>
    <row r="212" spans="1:12" ht="24.75" x14ac:dyDescent="0.25">
      <c r="A212" s="6" t="s">
        <v>2277</v>
      </c>
      <c r="B212" s="3" t="s">
        <v>2278</v>
      </c>
      <c r="C212" s="4">
        <v>1</v>
      </c>
      <c r="D212" s="5">
        <v>25</v>
      </c>
      <c r="E212" s="4" t="s">
        <v>2273</v>
      </c>
      <c r="F212" s="3" t="s">
        <v>5815</v>
      </c>
      <c r="G212" s="7" t="s">
        <v>5596</v>
      </c>
      <c r="H212" s="3" t="s">
        <v>4379</v>
      </c>
      <c r="I212" s="3" t="s">
        <v>5296</v>
      </c>
      <c r="J212" s="3" t="s">
        <v>5536</v>
      </c>
      <c r="K212" s="3" t="s">
        <v>5594</v>
      </c>
      <c r="L212" s="8" t="str">
        <f>HYPERLINK("http://slimages.macys.com/is/image/MCY/13746700 ")</f>
        <v xml:space="preserve">http://slimages.macys.com/is/image/MCY/13746700 </v>
      </c>
    </row>
    <row r="213" spans="1:12" x14ac:dyDescent="0.25">
      <c r="A213" s="6" t="s">
        <v>2279</v>
      </c>
      <c r="B213" s="3" t="s">
        <v>2280</v>
      </c>
      <c r="C213" s="4">
        <v>1</v>
      </c>
      <c r="D213" s="5">
        <v>34.99</v>
      </c>
      <c r="E213" s="4" t="s">
        <v>2281</v>
      </c>
      <c r="F213" s="3" t="s">
        <v>5532</v>
      </c>
      <c r="G213" s="7" t="s">
        <v>5533</v>
      </c>
      <c r="H213" s="3" t="s">
        <v>6065</v>
      </c>
      <c r="I213" s="3" t="s">
        <v>6066</v>
      </c>
      <c r="J213" s="3" t="s">
        <v>5536</v>
      </c>
      <c r="K213" s="3" t="s">
        <v>5553</v>
      </c>
      <c r="L213" s="8" t="str">
        <f>HYPERLINK("http://slimages.macys.com/is/image/MCY/14887967 ")</f>
        <v xml:space="preserve">http://slimages.macys.com/is/image/MCY/14887967 </v>
      </c>
    </row>
    <row r="214" spans="1:12" x14ac:dyDescent="0.25">
      <c r="A214" s="6" t="s">
        <v>2282</v>
      </c>
      <c r="B214" s="3" t="s">
        <v>6126</v>
      </c>
      <c r="C214" s="4">
        <v>1</v>
      </c>
      <c r="D214" s="5">
        <v>44.99</v>
      </c>
      <c r="E214" s="4" t="s">
        <v>6127</v>
      </c>
      <c r="F214" s="3" t="s">
        <v>5540</v>
      </c>
      <c r="G214" s="7" t="s">
        <v>5560</v>
      </c>
      <c r="H214" s="3" t="s">
        <v>5978</v>
      </c>
      <c r="I214" s="3" t="s">
        <v>5979</v>
      </c>
      <c r="J214" s="3" t="s">
        <v>5536</v>
      </c>
      <c r="K214" s="3" t="s">
        <v>5594</v>
      </c>
      <c r="L214" s="8" t="str">
        <f>HYPERLINK("http://slimages.macys.com/is/image/MCY/15349437 ")</f>
        <v xml:space="preserve">http://slimages.macys.com/is/image/MCY/15349437 </v>
      </c>
    </row>
    <row r="215" spans="1:12" ht="24.75" x14ac:dyDescent="0.25">
      <c r="A215" s="6" t="s">
        <v>2283</v>
      </c>
      <c r="B215" s="3" t="s">
        <v>2284</v>
      </c>
      <c r="C215" s="4">
        <v>1</v>
      </c>
      <c r="D215" s="5">
        <v>45</v>
      </c>
      <c r="E215" s="4">
        <v>100089635</v>
      </c>
      <c r="F215" s="3" t="s">
        <v>5556</v>
      </c>
      <c r="G215" s="7" t="s">
        <v>5560</v>
      </c>
      <c r="H215" s="3" t="s">
        <v>6019</v>
      </c>
      <c r="I215" s="3" t="s">
        <v>3918</v>
      </c>
      <c r="J215" s="3" t="s">
        <v>5536</v>
      </c>
      <c r="K215" s="3" t="s">
        <v>5549</v>
      </c>
      <c r="L215" s="8" t="str">
        <f>HYPERLINK("http://slimages.macys.com/is/image/MCY/16338215 ")</f>
        <v xml:space="preserve">http://slimages.macys.com/is/image/MCY/16338215 </v>
      </c>
    </row>
    <row r="216" spans="1:12" x14ac:dyDescent="0.25">
      <c r="A216" s="6" t="s">
        <v>2285</v>
      </c>
      <c r="B216" s="3" t="s">
        <v>2286</v>
      </c>
      <c r="C216" s="4">
        <v>1</v>
      </c>
      <c r="D216" s="5">
        <v>44.99</v>
      </c>
      <c r="E216" s="4" t="s">
        <v>2287</v>
      </c>
      <c r="F216" s="3" t="s">
        <v>5540</v>
      </c>
      <c r="G216" s="7" t="s">
        <v>5533</v>
      </c>
      <c r="H216" s="3" t="s">
        <v>5978</v>
      </c>
      <c r="I216" s="3" t="s">
        <v>5991</v>
      </c>
      <c r="J216" s="3" t="s">
        <v>5536</v>
      </c>
      <c r="K216" s="3" t="s">
        <v>5549</v>
      </c>
      <c r="L216" s="8" t="str">
        <f>HYPERLINK("http://slimages.macys.com/is/image/MCY/15899521 ")</f>
        <v xml:space="preserve">http://slimages.macys.com/is/image/MCY/15899521 </v>
      </c>
    </row>
    <row r="217" spans="1:12" x14ac:dyDescent="0.25">
      <c r="A217" s="6" t="s">
        <v>2288</v>
      </c>
      <c r="B217" s="3" t="s">
        <v>6145</v>
      </c>
      <c r="C217" s="4">
        <v>1</v>
      </c>
      <c r="D217" s="5">
        <v>49.5</v>
      </c>
      <c r="E217" s="4">
        <v>100019061</v>
      </c>
      <c r="F217" s="3" t="s">
        <v>6146</v>
      </c>
      <c r="G217" s="7" t="s">
        <v>6491</v>
      </c>
      <c r="H217" s="3" t="s">
        <v>5585</v>
      </c>
      <c r="I217" s="3" t="s">
        <v>5734</v>
      </c>
      <c r="J217" s="3" t="s">
        <v>5536</v>
      </c>
      <c r="K217" s="3" t="s">
        <v>6021</v>
      </c>
      <c r="L217" s="8" t="str">
        <f>HYPERLINK("http://slimages.macys.com/is/image/MCY/9778147 ")</f>
        <v xml:space="preserve">http://slimages.macys.com/is/image/MCY/9778147 </v>
      </c>
    </row>
    <row r="218" spans="1:12" x14ac:dyDescent="0.25">
      <c r="A218" s="6" t="s">
        <v>2289</v>
      </c>
      <c r="B218" s="3" t="s">
        <v>4843</v>
      </c>
      <c r="C218" s="4">
        <v>1</v>
      </c>
      <c r="D218" s="5">
        <v>44.99</v>
      </c>
      <c r="E218" s="4" t="s">
        <v>4844</v>
      </c>
      <c r="F218" s="3" t="s">
        <v>5820</v>
      </c>
      <c r="G218" s="7" t="s">
        <v>5598</v>
      </c>
      <c r="H218" s="3" t="s">
        <v>5978</v>
      </c>
      <c r="I218" s="3" t="s">
        <v>5979</v>
      </c>
      <c r="J218" s="3" t="s">
        <v>5536</v>
      </c>
      <c r="K218" s="3" t="s">
        <v>5574</v>
      </c>
      <c r="L218" s="8" t="str">
        <f>HYPERLINK("http://slimages.macys.com/is/image/MCY/15895350 ")</f>
        <v xml:space="preserve">http://slimages.macys.com/is/image/MCY/15895350 </v>
      </c>
    </row>
    <row r="219" spans="1:12" ht="24.75" x14ac:dyDescent="0.25">
      <c r="A219" s="6" t="s">
        <v>2290</v>
      </c>
      <c r="B219" s="3" t="s">
        <v>2291</v>
      </c>
      <c r="C219" s="4">
        <v>1</v>
      </c>
      <c r="D219" s="5">
        <v>36.99</v>
      </c>
      <c r="E219" s="4" t="s">
        <v>2292</v>
      </c>
      <c r="F219" s="3" t="s">
        <v>5625</v>
      </c>
      <c r="G219" s="7"/>
      <c r="H219" s="3" t="s">
        <v>6026</v>
      </c>
      <c r="I219" s="3" t="s">
        <v>6027</v>
      </c>
      <c r="J219" s="3" t="s">
        <v>5536</v>
      </c>
      <c r="K219" s="3" t="s">
        <v>5641</v>
      </c>
      <c r="L219" s="8" t="str">
        <f>HYPERLINK("http://slimages.macys.com/is/image/MCY/15968374 ")</f>
        <v xml:space="preserve">http://slimages.macys.com/is/image/MCY/15968374 </v>
      </c>
    </row>
    <row r="220" spans="1:12" ht="24.75" x14ac:dyDescent="0.25">
      <c r="A220" s="6" t="s">
        <v>2293</v>
      </c>
      <c r="B220" s="3" t="s">
        <v>2291</v>
      </c>
      <c r="C220" s="4">
        <v>1</v>
      </c>
      <c r="D220" s="5">
        <v>36.99</v>
      </c>
      <c r="E220" s="4" t="s">
        <v>2292</v>
      </c>
      <c r="F220" s="3" t="s">
        <v>5625</v>
      </c>
      <c r="G220" s="7"/>
      <c r="H220" s="3" t="s">
        <v>6026</v>
      </c>
      <c r="I220" s="3" t="s">
        <v>6027</v>
      </c>
      <c r="J220" s="3" t="s">
        <v>5536</v>
      </c>
      <c r="K220" s="3" t="s">
        <v>5641</v>
      </c>
      <c r="L220" s="8" t="str">
        <f>HYPERLINK("http://slimages.macys.com/is/image/MCY/15968374 ")</f>
        <v xml:space="preserve">http://slimages.macys.com/is/image/MCY/15968374 </v>
      </c>
    </row>
    <row r="221" spans="1:12" ht="24.75" x14ac:dyDescent="0.25">
      <c r="A221" s="6" t="s">
        <v>2294</v>
      </c>
      <c r="B221" s="3" t="s">
        <v>2295</v>
      </c>
      <c r="C221" s="4">
        <v>1</v>
      </c>
      <c r="D221" s="5">
        <v>28.99</v>
      </c>
      <c r="E221" s="4" t="s">
        <v>2296</v>
      </c>
      <c r="F221" s="3"/>
      <c r="G221" s="7" t="s">
        <v>5999</v>
      </c>
      <c r="H221" s="3" t="s">
        <v>5892</v>
      </c>
      <c r="I221" s="3" t="s">
        <v>5893</v>
      </c>
      <c r="J221" s="3" t="s">
        <v>5536</v>
      </c>
      <c r="K221" s="3" t="s">
        <v>5574</v>
      </c>
      <c r="L221" s="8" t="str">
        <f>HYPERLINK("http://slimages.macys.com/is/image/MCY/14562915 ")</f>
        <v xml:space="preserve">http://slimages.macys.com/is/image/MCY/14562915 </v>
      </c>
    </row>
    <row r="222" spans="1:12" ht="36.75" x14ac:dyDescent="0.25">
      <c r="A222" s="6" t="s">
        <v>2297</v>
      </c>
      <c r="B222" s="3" t="s">
        <v>2298</v>
      </c>
      <c r="C222" s="4">
        <v>1</v>
      </c>
      <c r="D222" s="5">
        <v>24.44</v>
      </c>
      <c r="E222" s="4" t="s">
        <v>2299</v>
      </c>
      <c r="F222" s="3" t="s">
        <v>5532</v>
      </c>
      <c r="G222" s="7" t="s">
        <v>6772</v>
      </c>
      <c r="H222" s="3" t="s">
        <v>5842</v>
      </c>
      <c r="I222" s="3" t="s">
        <v>2300</v>
      </c>
      <c r="J222" s="3" t="s">
        <v>5536</v>
      </c>
      <c r="K222" s="3" t="s">
        <v>2301</v>
      </c>
      <c r="L222" s="8" t="str">
        <f>HYPERLINK("http://slimages.macys.com/is/image/MCY/12793683 ")</f>
        <v xml:space="preserve">http://slimages.macys.com/is/image/MCY/12793683 </v>
      </c>
    </row>
    <row r="223" spans="1:12" ht="24.75" x14ac:dyDescent="0.25">
      <c r="A223" s="6" t="s">
        <v>6164</v>
      </c>
      <c r="B223" s="3" t="s">
        <v>6165</v>
      </c>
      <c r="C223" s="4">
        <v>2</v>
      </c>
      <c r="D223" s="5">
        <v>65.98</v>
      </c>
      <c r="E223" s="4" t="s">
        <v>6166</v>
      </c>
      <c r="F223" s="3" t="s">
        <v>5540</v>
      </c>
      <c r="G223" s="7" t="s">
        <v>5898</v>
      </c>
      <c r="H223" s="3" t="s">
        <v>5842</v>
      </c>
      <c r="I223" s="3" t="s">
        <v>6082</v>
      </c>
      <c r="J223" s="3" t="s">
        <v>5536</v>
      </c>
      <c r="K223" s="3" t="s">
        <v>5984</v>
      </c>
      <c r="L223" s="8" t="str">
        <f>HYPERLINK("http://slimages.macys.com/is/image/MCY/14619267 ")</f>
        <v xml:space="preserve">http://slimages.macys.com/is/image/MCY/14619267 </v>
      </c>
    </row>
    <row r="224" spans="1:12" ht="36.75" x14ac:dyDescent="0.25">
      <c r="A224" s="6" t="s">
        <v>2302</v>
      </c>
      <c r="B224" s="3" t="s">
        <v>2298</v>
      </c>
      <c r="C224" s="4">
        <v>2</v>
      </c>
      <c r="D224" s="5">
        <v>48.88</v>
      </c>
      <c r="E224" s="4" t="s">
        <v>2299</v>
      </c>
      <c r="F224" s="3" t="s">
        <v>5532</v>
      </c>
      <c r="G224" s="7" t="s">
        <v>6819</v>
      </c>
      <c r="H224" s="3" t="s">
        <v>5842</v>
      </c>
      <c r="I224" s="3" t="s">
        <v>2300</v>
      </c>
      <c r="J224" s="3" t="s">
        <v>5536</v>
      </c>
      <c r="K224" s="3" t="s">
        <v>2301</v>
      </c>
      <c r="L224" s="8" t="str">
        <f>HYPERLINK("http://slimages.macys.com/is/image/MCY/12793683 ")</f>
        <v xml:space="preserve">http://slimages.macys.com/is/image/MCY/12793683 </v>
      </c>
    </row>
    <row r="225" spans="1:12" ht="24.75" x14ac:dyDescent="0.25">
      <c r="A225" s="6" t="s">
        <v>4845</v>
      </c>
      <c r="B225" s="3" t="s">
        <v>6186</v>
      </c>
      <c r="C225" s="4">
        <v>1</v>
      </c>
      <c r="D225" s="5">
        <v>39.99</v>
      </c>
      <c r="E225" s="4" t="s">
        <v>6187</v>
      </c>
      <c r="F225" s="3" t="s">
        <v>5640</v>
      </c>
      <c r="G225" s="7" t="s">
        <v>5596</v>
      </c>
      <c r="H225" s="3" t="s">
        <v>6065</v>
      </c>
      <c r="I225" s="3" t="s">
        <v>6066</v>
      </c>
      <c r="J225" s="3" t="s">
        <v>5536</v>
      </c>
      <c r="K225" s="3" t="s">
        <v>5864</v>
      </c>
      <c r="L225" s="8" t="str">
        <f>HYPERLINK("http://slimages.macys.com/is/image/MCY/15554075 ")</f>
        <v xml:space="preserve">http://slimages.macys.com/is/image/MCY/15554075 </v>
      </c>
    </row>
    <row r="226" spans="1:12" ht="24.75" x14ac:dyDescent="0.25">
      <c r="A226" s="6" t="s">
        <v>2303</v>
      </c>
      <c r="B226" s="3" t="s">
        <v>2304</v>
      </c>
      <c r="C226" s="4">
        <v>1</v>
      </c>
      <c r="D226" s="5">
        <v>39.99</v>
      </c>
      <c r="E226" s="4" t="s">
        <v>2305</v>
      </c>
      <c r="F226" s="3" t="s">
        <v>5977</v>
      </c>
      <c r="G226" s="7" t="s">
        <v>4491</v>
      </c>
      <c r="H226" s="3" t="s">
        <v>6522</v>
      </c>
      <c r="I226" s="3" t="s">
        <v>6523</v>
      </c>
      <c r="J226" s="3" t="s">
        <v>5536</v>
      </c>
      <c r="K226" s="3" t="s">
        <v>6092</v>
      </c>
      <c r="L226" s="8" t="str">
        <f>HYPERLINK("http://slimages.macys.com/is/image/MCY/11713628 ")</f>
        <v xml:space="preserve">http://slimages.macys.com/is/image/MCY/11713628 </v>
      </c>
    </row>
    <row r="227" spans="1:12" ht="24.75" x14ac:dyDescent="0.25">
      <c r="A227" s="6" t="s">
        <v>2306</v>
      </c>
      <c r="B227" s="3" t="s">
        <v>2304</v>
      </c>
      <c r="C227" s="4">
        <v>1</v>
      </c>
      <c r="D227" s="5">
        <v>39.99</v>
      </c>
      <c r="E227" s="4" t="s">
        <v>2305</v>
      </c>
      <c r="F227" s="3" t="s">
        <v>5977</v>
      </c>
      <c r="G227" s="7" t="s">
        <v>6500</v>
      </c>
      <c r="H227" s="3" t="s">
        <v>6522</v>
      </c>
      <c r="I227" s="3" t="s">
        <v>6523</v>
      </c>
      <c r="J227" s="3" t="s">
        <v>5536</v>
      </c>
      <c r="K227" s="3" t="s">
        <v>6092</v>
      </c>
      <c r="L227" s="8" t="str">
        <f>HYPERLINK("http://slimages.macys.com/is/image/MCY/11713628 ")</f>
        <v xml:space="preserve">http://slimages.macys.com/is/image/MCY/11713628 </v>
      </c>
    </row>
    <row r="228" spans="1:12" ht="24.75" x14ac:dyDescent="0.25">
      <c r="A228" s="6" t="s">
        <v>2307</v>
      </c>
      <c r="B228" s="3" t="s">
        <v>2304</v>
      </c>
      <c r="C228" s="4">
        <v>1</v>
      </c>
      <c r="D228" s="5">
        <v>39.99</v>
      </c>
      <c r="E228" s="4" t="s">
        <v>2305</v>
      </c>
      <c r="F228" s="3" t="s">
        <v>5977</v>
      </c>
      <c r="G228" s="7" t="s">
        <v>7103</v>
      </c>
      <c r="H228" s="3" t="s">
        <v>6522</v>
      </c>
      <c r="I228" s="3" t="s">
        <v>6523</v>
      </c>
      <c r="J228" s="3" t="s">
        <v>5536</v>
      </c>
      <c r="K228" s="3" t="s">
        <v>6092</v>
      </c>
      <c r="L228" s="8" t="str">
        <f>HYPERLINK("http://slimages.macys.com/is/image/MCY/11713628 ")</f>
        <v xml:space="preserve">http://slimages.macys.com/is/image/MCY/11713628 </v>
      </c>
    </row>
    <row r="229" spans="1:12" ht="24.75" x14ac:dyDescent="0.25">
      <c r="A229" s="6" t="s">
        <v>2308</v>
      </c>
      <c r="B229" s="3" t="s">
        <v>2309</v>
      </c>
      <c r="C229" s="4">
        <v>1</v>
      </c>
      <c r="D229" s="5">
        <v>25.5</v>
      </c>
      <c r="E229" s="4" t="s">
        <v>2310</v>
      </c>
      <c r="F229" s="3" t="s">
        <v>5540</v>
      </c>
      <c r="G229" s="7" t="s">
        <v>2311</v>
      </c>
      <c r="H229" s="3" t="s">
        <v>5722</v>
      </c>
      <c r="I229" s="3" t="s">
        <v>2312</v>
      </c>
      <c r="J229" s="3" t="s">
        <v>5536</v>
      </c>
      <c r="K229" s="3" t="s">
        <v>2313</v>
      </c>
      <c r="L229" s="8" t="str">
        <f>HYPERLINK("http://slimages.macys.com/is/image/MCY/8118062 ")</f>
        <v xml:space="preserve">http://slimages.macys.com/is/image/MCY/8118062 </v>
      </c>
    </row>
    <row r="230" spans="1:12" ht="24.75" x14ac:dyDescent="0.25">
      <c r="A230" s="6" t="s">
        <v>2314</v>
      </c>
      <c r="B230" s="3" t="s">
        <v>2315</v>
      </c>
      <c r="C230" s="4">
        <v>1</v>
      </c>
      <c r="D230" s="5">
        <v>25</v>
      </c>
      <c r="E230" s="4">
        <v>1345317</v>
      </c>
      <c r="F230" s="3" t="s">
        <v>5661</v>
      </c>
      <c r="G230" s="7" t="s">
        <v>5560</v>
      </c>
      <c r="H230" s="3" t="s">
        <v>5726</v>
      </c>
      <c r="I230" s="3" t="s">
        <v>5726</v>
      </c>
      <c r="J230" s="3" t="s">
        <v>5536</v>
      </c>
      <c r="K230" s="3" t="s">
        <v>3889</v>
      </c>
      <c r="L230" s="8" t="str">
        <f>HYPERLINK("http://slimages.macys.com/is/image/MCY/15912034 ")</f>
        <v xml:space="preserve">http://slimages.macys.com/is/image/MCY/15912034 </v>
      </c>
    </row>
    <row r="231" spans="1:12" ht="36.75" x14ac:dyDescent="0.25">
      <c r="A231" s="6" t="s">
        <v>2316</v>
      </c>
      <c r="B231" s="3" t="s">
        <v>2317</v>
      </c>
      <c r="C231" s="4">
        <v>1</v>
      </c>
      <c r="D231" s="5">
        <v>38</v>
      </c>
      <c r="E231" s="4">
        <v>92299</v>
      </c>
      <c r="F231" s="3" t="s">
        <v>5540</v>
      </c>
      <c r="G231" s="7" t="s">
        <v>6776</v>
      </c>
      <c r="H231" s="3" t="s">
        <v>5842</v>
      </c>
      <c r="I231" s="3" t="s">
        <v>5843</v>
      </c>
      <c r="J231" s="3" t="s">
        <v>5536</v>
      </c>
      <c r="K231" s="3" t="s">
        <v>2318</v>
      </c>
      <c r="L231" s="8" t="str">
        <f>HYPERLINK("http://slimages.macys.com/is/image/MCY/15168661 ")</f>
        <v xml:space="preserve">http://slimages.macys.com/is/image/MCY/15168661 </v>
      </c>
    </row>
    <row r="232" spans="1:12" ht="24.75" x14ac:dyDescent="0.25">
      <c r="A232" s="6" t="s">
        <v>2319</v>
      </c>
      <c r="B232" s="3" t="s">
        <v>2320</v>
      </c>
      <c r="C232" s="4">
        <v>1</v>
      </c>
      <c r="D232" s="5">
        <v>38</v>
      </c>
      <c r="E232" s="4">
        <v>92300</v>
      </c>
      <c r="F232" s="3" t="s">
        <v>5540</v>
      </c>
      <c r="G232" s="7" t="s">
        <v>2321</v>
      </c>
      <c r="H232" s="3" t="s">
        <v>5842</v>
      </c>
      <c r="I232" s="3" t="s">
        <v>5843</v>
      </c>
      <c r="J232" s="3" t="s">
        <v>5536</v>
      </c>
      <c r="K232" s="3" t="s">
        <v>2322</v>
      </c>
      <c r="L232" s="8" t="str">
        <f>HYPERLINK("http://slimages.macys.com/is/image/MCY/15168449 ")</f>
        <v xml:space="preserve">http://slimages.macys.com/is/image/MCY/15168449 </v>
      </c>
    </row>
    <row r="233" spans="1:12" ht="24.75" x14ac:dyDescent="0.25">
      <c r="A233" s="6" t="s">
        <v>2323</v>
      </c>
      <c r="B233" s="3" t="s">
        <v>2324</v>
      </c>
      <c r="C233" s="4">
        <v>1</v>
      </c>
      <c r="D233" s="5">
        <v>40</v>
      </c>
      <c r="E233" s="4" t="s">
        <v>2325</v>
      </c>
      <c r="F233" s="3" t="s">
        <v>5578</v>
      </c>
      <c r="G233" s="7" t="s">
        <v>5596</v>
      </c>
      <c r="H233" s="3" t="s">
        <v>6019</v>
      </c>
      <c r="I233" s="3" t="s">
        <v>6020</v>
      </c>
      <c r="J233" s="3" t="s">
        <v>5536</v>
      </c>
      <c r="K233" s="3" t="s">
        <v>5574</v>
      </c>
      <c r="L233" s="8" t="str">
        <f>HYPERLINK("http://slimages.macys.com/is/image/MCY/13785115 ")</f>
        <v xml:space="preserve">http://slimages.macys.com/is/image/MCY/13785115 </v>
      </c>
    </row>
    <row r="234" spans="1:12" x14ac:dyDescent="0.25">
      <c r="A234" s="6" t="s">
        <v>2326</v>
      </c>
      <c r="B234" s="3" t="s">
        <v>2327</v>
      </c>
      <c r="C234" s="4">
        <v>1</v>
      </c>
      <c r="D234" s="5">
        <v>29.5</v>
      </c>
      <c r="E234" s="4">
        <v>100084828</v>
      </c>
      <c r="F234" s="3" t="s">
        <v>5540</v>
      </c>
      <c r="G234" s="7" t="s">
        <v>5596</v>
      </c>
      <c r="H234" s="3" t="s">
        <v>5585</v>
      </c>
      <c r="I234" s="3" t="s">
        <v>5734</v>
      </c>
      <c r="J234" s="3" t="s">
        <v>5536</v>
      </c>
      <c r="K234" s="3" t="s">
        <v>5574</v>
      </c>
      <c r="L234" s="8" t="str">
        <f>HYPERLINK("http://slimages.macys.com/is/image/MCY/16135183 ")</f>
        <v xml:space="preserve">http://slimages.macys.com/is/image/MCY/16135183 </v>
      </c>
    </row>
    <row r="235" spans="1:12" ht="24.75" x14ac:dyDescent="0.25">
      <c r="A235" s="6" t="s">
        <v>6198</v>
      </c>
      <c r="B235" s="3" t="s">
        <v>6199</v>
      </c>
      <c r="C235" s="4">
        <v>1</v>
      </c>
      <c r="D235" s="5">
        <v>30</v>
      </c>
      <c r="E235" s="4" t="s">
        <v>6200</v>
      </c>
      <c r="F235" s="3" t="s">
        <v>5540</v>
      </c>
      <c r="G235" s="7" t="s">
        <v>5596</v>
      </c>
      <c r="H235" s="3" t="s">
        <v>5842</v>
      </c>
      <c r="I235" s="3" t="s">
        <v>5843</v>
      </c>
      <c r="J235" s="3" t="s">
        <v>5536</v>
      </c>
      <c r="K235" s="3" t="s">
        <v>5727</v>
      </c>
      <c r="L235" s="8" t="str">
        <f>HYPERLINK("http://slimages.macys.com/is/image/MCY/14506440 ")</f>
        <v xml:space="preserve">http://slimages.macys.com/is/image/MCY/14506440 </v>
      </c>
    </row>
    <row r="236" spans="1:12" ht="24.75" x14ac:dyDescent="0.25">
      <c r="A236" s="6" t="s">
        <v>2328</v>
      </c>
      <c r="B236" s="3" t="s">
        <v>6212</v>
      </c>
      <c r="C236" s="4">
        <v>1</v>
      </c>
      <c r="D236" s="5">
        <v>19.989999999999998</v>
      </c>
      <c r="E236" s="4" t="s">
        <v>6213</v>
      </c>
      <c r="F236" s="3" t="s">
        <v>5616</v>
      </c>
      <c r="G236" s="7" t="s">
        <v>5562</v>
      </c>
      <c r="H236" s="3" t="s">
        <v>5606</v>
      </c>
      <c r="I236" s="3" t="s">
        <v>5914</v>
      </c>
      <c r="J236" s="3" t="s">
        <v>5536</v>
      </c>
      <c r="K236" s="3" t="s">
        <v>5574</v>
      </c>
      <c r="L236" s="8" t="str">
        <f>HYPERLINK("http://slimages.macys.com/is/image/MCY/11670675 ")</f>
        <v xml:space="preserve">http://slimages.macys.com/is/image/MCY/11670675 </v>
      </c>
    </row>
    <row r="237" spans="1:12" ht="24.75" x14ac:dyDescent="0.25">
      <c r="A237" s="6" t="s">
        <v>2329</v>
      </c>
      <c r="B237" s="3" t="s">
        <v>2330</v>
      </c>
      <c r="C237" s="4">
        <v>1</v>
      </c>
      <c r="D237" s="5">
        <v>19.989999999999998</v>
      </c>
      <c r="E237" s="4" t="s">
        <v>6213</v>
      </c>
      <c r="F237" s="3" t="s">
        <v>5945</v>
      </c>
      <c r="G237" s="7" t="s">
        <v>5562</v>
      </c>
      <c r="H237" s="3" t="s">
        <v>5606</v>
      </c>
      <c r="I237" s="3" t="s">
        <v>5914</v>
      </c>
      <c r="J237" s="3" t="s">
        <v>5536</v>
      </c>
      <c r="K237" s="3" t="s">
        <v>5574</v>
      </c>
      <c r="L237" s="8" t="str">
        <f>HYPERLINK("http://slimages.macys.com/is/image/MCY/11670675 ")</f>
        <v xml:space="preserve">http://slimages.macys.com/is/image/MCY/11670675 </v>
      </c>
    </row>
    <row r="238" spans="1:12" x14ac:dyDescent="0.25">
      <c r="A238" s="6" t="s">
        <v>2331</v>
      </c>
      <c r="B238" s="3" t="s">
        <v>2332</v>
      </c>
      <c r="C238" s="4">
        <v>1</v>
      </c>
      <c r="D238" s="5">
        <v>19.989999999999998</v>
      </c>
      <c r="E238" s="4" t="s">
        <v>6213</v>
      </c>
      <c r="F238" s="3" t="s">
        <v>5604</v>
      </c>
      <c r="G238" s="7" t="s">
        <v>5562</v>
      </c>
      <c r="H238" s="3" t="s">
        <v>5606</v>
      </c>
      <c r="I238" s="3" t="s">
        <v>5914</v>
      </c>
      <c r="J238" s="3" t="s">
        <v>5536</v>
      </c>
      <c r="K238" s="3" t="s">
        <v>5574</v>
      </c>
      <c r="L238" s="8" t="str">
        <f>HYPERLINK("http://slimages.macys.com/is/image/MCY/9404851 ")</f>
        <v xml:space="preserve">http://slimages.macys.com/is/image/MCY/9404851 </v>
      </c>
    </row>
    <row r="239" spans="1:12" ht="24.75" x14ac:dyDescent="0.25">
      <c r="A239" s="6" t="s">
        <v>2333</v>
      </c>
      <c r="B239" s="3" t="s">
        <v>2334</v>
      </c>
      <c r="C239" s="4">
        <v>1</v>
      </c>
      <c r="D239" s="5">
        <v>30</v>
      </c>
      <c r="E239" s="4" t="s">
        <v>2335</v>
      </c>
      <c r="F239" s="3" t="s">
        <v>6983</v>
      </c>
      <c r="G239" s="7" t="s">
        <v>5598</v>
      </c>
      <c r="H239" s="3" t="s">
        <v>6019</v>
      </c>
      <c r="I239" s="3" t="s">
        <v>6020</v>
      </c>
      <c r="J239" s="3" t="s">
        <v>5536</v>
      </c>
      <c r="K239" s="3" t="s">
        <v>5553</v>
      </c>
      <c r="L239" s="8" t="str">
        <f>HYPERLINK("http://slimages.macys.com/is/image/MCY/12933158 ")</f>
        <v xml:space="preserve">http://slimages.macys.com/is/image/MCY/12933158 </v>
      </c>
    </row>
    <row r="240" spans="1:12" ht="24.75" x14ac:dyDescent="0.25">
      <c r="A240" s="6" t="s">
        <v>2336</v>
      </c>
      <c r="B240" s="3" t="s">
        <v>2337</v>
      </c>
      <c r="C240" s="4">
        <v>1</v>
      </c>
      <c r="D240" s="5">
        <v>45</v>
      </c>
      <c r="E240" s="4" t="s">
        <v>2338</v>
      </c>
      <c r="F240" s="3" t="s">
        <v>5540</v>
      </c>
      <c r="G240" s="7" t="s">
        <v>5533</v>
      </c>
      <c r="H240" s="3" t="s">
        <v>6019</v>
      </c>
      <c r="I240" s="3" t="s">
        <v>3918</v>
      </c>
      <c r="J240" s="3" t="s">
        <v>5536</v>
      </c>
      <c r="K240" s="3" t="s">
        <v>5594</v>
      </c>
      <c r="L240" s="8" t="str">
        <f>HYPERLINK("http://slimages.macys.com/is/image/MCY/16191425 ")</f>
        <v xml:space="preserve">http://slimages.macys.com/is/image/MCY/16191425 </v>
      </c>
    </row>
    <row r="241" spans="1:12" ht="36.75" x14ac:dyDescent="0.25">
      <c r="A241" s="6" t="s">
        <v>6231</v>
      </c>
      <c r="B241" s="3" t="s">
        <v>6232</v>
      </c>
      <c r="C241" s="4">
        <v>1</v>
      </c>
      <c r="D241" s="5">
        <v>30.13</v>
      </c>
      <c r="E241" s="4" t="s">
        <v>6233</v>
      </c>
      <c r="F241" s="3" t="s">
        <v>5540</v>
      </c>
      <c r="G241" s="7" t="s">
        <v>5562</v>
      </c>
      <c r="H241" s="3" t="s">
        <v>5842</v>
      </c>
      <c r="I241" s="3" t="s">
        <v>5904</v>
      </c>
      <c r="J241" s="3" t="s">
        <v>5536</v>
      </c>
      <c r="K241" s="3" t="s">
        <v>6234</v>
      </c>
      <c r="L241" s="8" t="str">
        <f>HYPERLINK("http://slimages.macys.com/is/image/MCY/14618829 ")</f>
        <v xml:space="preserve">http://slimages.macys.com/is/image/MCY/14618829 </v>
      </c>
    </row>
    <row r="242" spans="1:12" ht="36.75" x14ac:dyDescent="0.25">
      <c r="A242" s="6" t="s">
        <v>4872</v>
      </c>
      <c r="B242" s="3" t="s">
        <v>6232</v>
      </c>
      <c r="C242" s="4">
        <v>5</v>
      </c>
      <c r="D242" s="5">
        <v>150.65</v>
      </c>
      <c r="E242" s="4" t="s">
        <v>6233</v>
      </c>
      <c r="F242" s="3" t="s">
        <v>5540</v>
      </c>
      <c r="G242" s="7" t="s">
        <v>5596</v>
      </c>
      <c r="H242" s="3" t="s">
        <v>5842</v>
      </c>
      <c r="I242" s="3" t="s">
        <v>5904</v>
      </c>
      <c r="J242" s="3" t="s">
        <v>5536</v>
      </c>
      <c r="K242" s="3" t="s">
        <v>6234</v>
      </c>
      <c r="L242" s="8" t="str">
        <f>HYPERLINK("http://slimages.macys.com/is/image/MCY/14618829 ")</f>
        <v xml:space="preserve">http://slimages.macys.com/is/image/MCY/14618829 </v>
      </c>
    </row>
    <row r="243" spans="1:12" ht="36.75" x14ac:dyDescent="0.25">
      <c r="A243" s="6" t="s">
        <v>6235</v>
      </c>
      <c r="B243" s="3" t="s">
        <v>6232</v>
      </c>
      <c r="C243" s="4">
        <v>1</v>
      </c>
      <c r="D243" s="5">
        <v>30.13</v>
      </c>
      <c r="E243" s="4" t="s">
        <v>6233</v>
      </c>
      <c r="F243" s="3" t="s">
        <v>5540</v>
      </c>
      <c r="G243" s="7" t="s">
        <v>5533</v>
      </c>
      <c r="H243" s="3" t="s">
        <v>5842</v>
      </c>
      <c r="I243" s="3" t="s">
        <v>5904</v>
      </c>
      <c r="J243" s="3" t="s">
        <v>5536</v>
      </c>
      <c r="K243" s="3" t="s">
        <v>6234</v>
      </c>
      <c r="L243" s="8" t="str">
        <f>HYPERLINK("http://slimages.macys.com/is/image/MCY/14618829 ")</f>
        <v xml:space="preserve">http://slimages.macys.com/is/image/MCY/14618829 </v>
      </c>
    </row>
    <row r="244" spans="1:12" ht="24.75" x14ac:dyDescent="0.25">
      <c r="A244" s="6" t="s">
        <v>6229</v>
      </c>
      <c r="B244" s="3" t="s">
        <v>6226</v>
      </c>
      <c r="C244" s="4">
        <v>1</v>
      </c>
      <c r="D244" s="5">
        <v>30.13</v>
      </c>
      <c r="E244" s="4" t="s">
        <v>6227</v>
      </c>
      <c r="F244" s="3" t="s">
        <v>5540</v>
      </c>
      <c r="G244" s="7" t="s">
        <v>5596</v>
      </c>
      <c r="H244" s="3" t="s">
        <v>5842</v>
      </c>
      <c r="I244" s="3" t="s">
        <v>5904</v>
      </c>
      <c r="J244" s="3" t="s">
        <v>5536</v>
      </c>
      <c r="K244" s="3" t="s">
        <v>6228</v>
      </c>
      <c r="L244" s="8" t="str">
        <f>HYPERLINK("http://slimages.macys.com/is/image/MCY/14618767 ")</f>
        <v xml:space="preserve">http://slimages.macys.com/is/image/MCY/14618767 </v>
      </c>
    </row>
    <row r="245" spans="1:12" ht="24.75" x14ac:dyDescent="0.25">
      <c r="A245" s="6" t="s">
        <v>2339</v>
      </c>
      <c r="B245" s="3" t="s">
        <v>2340</v>
      </c>
      <c r="C245" s="4">
        <v>1</v>
      </c>
      <c r="D245" s="5">
        <v>39.99</v>
      </c>
      <c r="E245" s="4">
        <v>10007047300</v>
      </c>
      <c r="F245" s="3" t="s">
        <v>5540</v>
      </c>
      <c r="G245" s="7" t="s">
        <v>5567</v>
      </c>
      <c r="H245" s="3" t="s">
        <v>6522</v>
      </c>
      <c r="I245" s="3" t="s">
        <v>4828</v>
      </c>
      <c r="J245" s="3" t="s">
        <v>5536</v>
      </c>
      <c r="K245" s="3" t="s">
        <v>5727</v>
      </c>
      <c r="L245" s="8" t="str">
        <f>HYPERLINK("http://slimages.macys.com/is/image/MCY/14662446 ")</f>
        <v xml:space="preserve">http://slimages.macys.com/is/image/MCY/14662446 </v>
      </c>
    </row>
    <row r="246" spans="1:12" ht="24.75" x14ac:dyDescent="0.25">
      <c r="A246" s="6" t="s">
        <v>2341</v>
      </c>
      <c r="B246" s="3" t="s">
        <v>2340</v>
      </c>
      <c r="C246" s="4">
        <v>1</v>
      </c>
      <c r="D246" s="5">
        <v>39.99</v>
      </c>
      <c r="E246" s="4">
        <v>10007047300</v>
      </c>
      <c r="F246" s="3" t="s">
        <v>5540</v>
      </c>
      <c r="G246" s="7" t="s">
        <v>5629</v>
      </c>
      <c r="H246" s="3" t="s">
        <v>6522</v>
      </c>
      <c r="I246" s="3" t="s">
        <v>4828</v>
      </c>
      <c r="J246" s="3" t="s">
        <v>5536</v>
      </c>
      <c r="K246" s="3" t="s">
        <v>5727</v>
      </c>
      <c r="L246" s="8" t="str">
        <f>HYPERLINK("http://slimages.macys.com/is/image/MCY/14662446 ")</f>
        <v xml:space="preserve">http://slimages.macys.com/is/image/MCY/14662446 </v>
      </c>
    </row>
    <row r="247" spans="1:12" ht="24.75" x14ac:dyDescent="0.25">
      <c r="A247" s="6" t="s">
        <v>2342</v>
      </c>
      <c r="B247" s="3" t="s">
        <v>2340</v>
      </c>
      <c r="C247" s="4">
        <v>1</v>
      </c>
      <c r="D247" s="5">
        <v>39.99</v>
      </c>
      <c r="E247" s="4">
        <v>10007047300</v>
      </c>
      <c r="F247" s="3" t="s">
        <v>5540</v>
      </c>
      <c r="G247" s="7" t="s">
        <v>5682</v>
      </c>
      <c r="H247" s="3" t="s">
        <v>6522</v>
      </c>
      <c r="I247" s="3" t="s">
        <v>4828</v>
      </c>
      <c r="J247" s="3" t="s">
        <v>5536</v>
      </c>
      <c r="K247" s="3" t="s">
        <v>5727</v>
      </c>
      <c r="L247" s="8" t="str">
        <f>HYPERLINK("http://slimages.macys.com/is/image/MCY/14662446 ")</f>
        <v xml:space="preserve">http://slimages.macys.com/is/image/MCY/14662446 </v>
      </c>
    </row>
    <row r="248" spans="1:12" ht="24.75" x14ac:dyDescent="0.25">
      <c r="A248" s="6" t="s">
        <v>2343</v>
      </c>
      <c r="B248" s="3" t="s">
        <v>4094</v>
      </c>
      <c r="C248" s="4">
        <v>1</v>
      </c>
      <c r="D248" s="5">
        <v>29.99</v>
      </c>
      <c r="E248" s="4" t="s">
        <v>4095</v>
      </c>
      <c r="F248" s="3" t="s">
        <v>5532</v>
      </c>
      <c r="G248" s="7" t="s">
        <v>5560</v>
      </c>
      <c r="H248" s="3" t="s">
        <v>6608</v>
      </c>
      <c r="I248" s="3" t="s">
        <v>6609</v>
      </c>
      <c r="J248" s="3" t="s">
        <v>5536</v>
      </c>
      <c r="K248" s="3" t="s">
        <v>5549</v>
      </c>
      <c r="L248" s="8" t="str">
        <f>HYPERLINK("http://slimages.macys.com/is/image/MCY/14311795 ")</f>
        <v xml:space="preserve">http://slimages.macys.com/is/image/MCY/14311795 </v>
      </c>
    </row>
    <row r="249" spans="1:12" x14ac:dyDescent="0.25">
      <c r="A249" s="6" t="s">
        <v>2344</v>
      </c>
      <c r="B249" s="3" t="s">
        <v>2345</v>
      </c>
      <c r="C249" s="4">
        <v>1</v>
      </c>
      <c r="D249" s="5">
        <v>39.99</v>
      </c>
      <c r="E249" s="4" t="s">
        <v>2346</v>
      </c>
      <c r="F249" s="3" t="s">
        <v>5820</v>
      </c>
      <c r="G249" s="7" t="s">
        <v>5562</v>
      </c>
      <c r="H249" s="3" t="s">
        <v>6003</v>
      </c>
      <c r="I249" s="3" t="s">
        <v>6004</v>
      </c>
      <c r="J249" s="3" t="s">
        <v>5536</v>
      </c>
      <c r="K249" s="3" t="s">
        <v>2347</v>
      </c>
      <c r="L249" s="8" t="str">
        <f>HYPERLINK("http://slimages.macys.com/is/image/MCY/14336141 ")</f>
        <v xml:space="preserve">http://slimages.macys.com/is/image/MCY/14336141 </v>
      </c>
    </row>
    <row r="250" spans="1:12" ht="24.75" x14ac:dyDescent="0.25">
      <c r="A250" s="6" t="s">
        <v>2348</v>
      </c>
      <c r="B250" s="3" t="s">
        <v>2349</v>
      </c>
      <c r="C250" s="4">
        <v>1</v>
      </c>
      <c r="D250" s="5">
        <v>40</v>
      </c>
      <c r="E250" s="4" t="s">
        <v>2350</v>
      </c>
      <c r="F250" s="3" t="s">
        <v>5540</v>
      </c>
      <c r="G250" s="7" t="s">
        <v>5596</v>
      </c>
      <c r="H250" s="3" t="s">
        <v>6019</v>
      </c>
      <c r="I250" s="3" t="s">
        <v>6020</v>
      </c>
      <c r="J250" s="3" t="s">
        <v>5536</v>
      </c>
      <c r="K250" s="3" t="s">
        <v>5549</v>
      </c>
      <c r="L250" s="8" t="str">
        <f>HYPERLINK("http://slimages.macys.com/is/image/MCY/13289476 ")</f>
        <v xml:space="preserve">http://slimages.macys.com/is/image/MCY/13289476 </v>
      </c>
    </row>
    <row r="251" spans="1:12" x14ac:dyDescent="0.25">
      <c r="A251" s="6" t="s">
        <v>2351</v>
      </c>
      <c r="B251" s="3" t="s">
        <v>2352</v>
      </c>
      <c r="C251" s="4">
        <v>1</v>
      </c>
      <c r="D251" s="5">
        <v>39.99</v>
      </c>
      <c r="E251" s="4" t="s">
        <v>2353</v>
      </c>
      <c r="F251" s="3" t="s">
        <v>5532</v>
      </c>
      <c r="G251" s="7" t="s">
        <v>5596</v>
      </c>
      <c r="H251" s="3" t="s">
        <v>5978</v>
      </c>
      <c r="I251" s="3" t="s">
        <v>5979</v>
      </c>
      <c r="J251" s="3" t="s">
        <v>5536</v>
      </c>
      <c r="K251" s="3" t="s">
        <v>5594</v>
      </c>
      <c r="L251" s="8" t="str">
        <f>HYPERLINK("http://slimages.macys.com/is/image/MCY/15250591 ")</f>
        <v xml:space="preserve">http://slimages.macys.com/is/image/MCY/15250591 </v>
      </c>
    </row>
    <row r="252" spans="1:12" x14ac:dyDescent="0.25">
      <c r="A252" s="6" t="s">
        <v>2354</v>
      </c>
      <c r="B252" s="3" t="s">
        <v>2352</v>
      </c>
      <c r="C252" s="4">
        <v>2</v>
      </c>
      <c r="D252" s="5">
        <v>79.98</v>
      </c>
      <c r="E252" s="4" t="s">
        <v>2353</v>
      </c>
      <c r="F252" s="3" t="s">
        <v>5540</v>
      </c>
      <c r="G252" s="7" t="s">
        <v>5562</v>
      </c>
      <c r="H252" s="3" t="s">
        <v>5978</v>
      </c>
      <c r="I252" s="3" t="s">
        <v>5979</v>
      </c>
      <c r="J252" s="3" t="s">
        <v>5536</v>
      </c>
      <c r="K252" s="3" t="s">
        <v>5594</v>
      </c>
      <c r="L252" s="8" t="str">
        <f>HYPERLINK("http://slimages.macys.com/is/image/MCY/15250591 ")</f>
        <v xml:space="preserve">http://slimages.macys.com/is/image/MCY/15250591 </v>
      </c>
    </row>
    <row r="253" spans="1:12" x14ac:dyDescent="0.25">
      <c r="A253" s="6" t="s">
        <v>2355</v>
      </c>
      <c r="B253" s="3" t="s">
        <v>2352</v>
      </c>
      <c r="C253" s="4">
        <v>1</v>
      </c>
      <c r="D253" s="5">
        <v>39.99</v>
      </c>
      <c r="E253" s="4" t="s">
        <v>2353</v>
      </c>
      <c r="F253" s="3" t="s">
        <v>5540</v>
      </c>
      <c r="G253" s="7" t="s">
        <v>5596</v>
      </c>
      <c r="H253" s="3" t="s">
        <v>5978</v>
      </c>
      <c r="I253" s="3" t="s">
        <v>5979</v>
      </c>
      <c r="J253" s="3" t="s">
        <v>5536</v>
      </c>
      <c r="K253" s="3" t="s">
        <v>5594</v>
      </c>
      <c r="L253" s="8" t="str">
        <f>HYPERLINK("http://slimages.macys.com/is/image/MCY/15250591 ")</f>
        <v xml:space="preserve">http://slimages.macys.com/is/image/MCY/15250591 </v>
      </c>
    </row>
    <row r="254" spans="1:12" ht="36.75" x14ac:dyDescent="0.25">
      <c r="A254" s="6" t="s">
        <v>2356</v>
      </c>
      <c r="B254" s="3" t="s">
        <v>2357</v>
      </c>
      <c r="C254" s="4">
        <v>1</v>
      </c>
      <c r="D254" s="5">
        <v>39.99</v>
      </c>
      <c r="E254" s="4" t="s">
        <v>2358</v>
      </c>
      <c r="F254" s="3" t="s">
        <v>5803</v>
      </c>
      <c r="G254" s="7" t="s">
        <v>5598</v>
      </c>
      <c r="H254" s="3" t="s">
        <v>6065</v>
      </c>
      <c r="I254" s="3" t="s">
        <v>6066</v>
      </c>
      <c r="J254" s="3" t="s">
        <v>5536</v>
      </c>
      <c r="K254" s="3" t="s">
        <v>2359</v>
      </c>
      <c r="L254" s="8" t="str">
        <f>HYPERLINK("http://slimages.macys.com/is/image/MCY/8647769 ")</f>
        <v xml:space="preserve">http://slimages.macys.com/is/image/MCY/8647769 </v>
      </c>
    </row>
    <row r="255" spans="1:12" ht="36.75" x14ac:dyDescent="0.25">
      <c r="A255" s="6" t="s">
        <v>2360</v>
      </c>
      <c r="B255" s="3" t="s">
        <v>2357</v>
      </c>
      <c r="C255" s="4">
        <v>1</v>
      </c>
      <c r="D255" s="5">
        <v>39.99</v>
      </c>
      <c r="E255" s="4" t="s">
        <v>2358</v>
      </c>
      <c r="F255" s="3" t="s">
        <v>5803</v>
      </c>
      <c r="G255" s="7" t="s">
        <v>5560</v>
      </c>
      <c r="H255" s="3" t="s">
        <v>6065</v>
      </c>
      <c r="I255" s="3" t="s">
        <v>6066</v>
      </c>
      <c r="J255" s="3" t="s">
        <v>5536</v>
      </c>
      <c r="K255" s="3" t="s">
        <v>2359</v>
      </c>
      <c r="L255" s="8" t="str">
        <f>HYPERLINK("http://slimages.macys.com/is/image/MCY/8647769 ")</f>
        <v xml:space="preserve">http://slimages.macys.com/is/image/MCY/8647769 </v>
      </c>
    </row>
    <row r="256" spans="1:12" ht="24.75" x14ac:dyDescent="0.25">
      <c r="A256" s="6" t="s">
        <v>2361</v>
      </c>
      <c r="B256" s="3" t="s">
        <v>2362</v>
      </c>
      <c r="C256" s="4">
        <v>1</v>
      </c>
      <c r="D256" s="5">
        <v>27.99</v>
      </c>
      <c r="E256" s="4" t="s">
        <v>4924</v>
      </c>
      <c r="F256" s="3" t="s">
        <v>5625</v>
      </c>
      <c r="G256" s="7"/>
      <c r="H256" s="3" t="s">
        <v>6280</v>
      </c>
      <c r="I256" s="3" t="s">
        <v>4889</v>
      </c>
      <c r="J256" s="3" t="s">
        <v>5536</v>
      </c>
      <c r="K256" s="3" t="s">
        <v>6303</v>
      </c>
      <c r="L256" s="8" t="str">
        <f>HYPERLINK("http://slimages.macys.com/is/image/MCY/9088385 ")</f>
        <v xml:space="preserve">http://slimages.macys.com/is/image/MCY/9088385 </v>
      </c>
    </row>
    <row r="257" spans="1:12" ht="24.75" x14ac:dyDescent="0.25">
      <c r="A257" s="6" t="s">
        <v>4907</v>
      </c>
      <c r="B257" s="3" t="s">
        <v>4908</v>
      </c>
      <c r="C257" s="4">
        <v>2</v>
      </c>
      <c r="D257" s="5">
        <v>55.98</v>
      </c>
      <c r="E257" s="4" t="s">
        <v>4909</v>
      </c>
      <c r="F257" s="3" t="s">
        <v>5793</v>
      </c>
      <c r="G257" s="7"/>
      <c r="H257" s="3" t="s">
        <v>6280</v>
      </c>
      <c r="I257" s="3" t="s">
        <v>4889</v>
      </c>
      <c r="J257" s="3" t="s">
        <v>5536</v>
      </c>
      <c r="K257" s="3" t="s">
        <v>6316</v>
      </c>
      <c r="L257" s="8" t="str">
        <f>HYPERLINK("http://slimages.macys.com/is/image/MCY/15954252 ")</f>
        <v xml:space="preserve">http://slimages.macys.com/is/image/MCY/15954252 </v>
      </c>
    </row>
    <row r="258" spans="1:12" ht="24.75" x14ac:dyDescent="0.25">
      <c r="A258" s="6" t="s">
        <v>4925</v>
      </c>
      <c r="B258" s="3" t="s">
        <v>4926</v>
      </c>
      <c r="C258" s="4">
        <v>1</v>
      </c>
      <c r="D258" s="5">
        <v>27.99</v>
      </c>
      <c r="E258" s="4" t="s">
        <v>4927</v>
      </c>
      <c r="F258" s="3" t="s">
        <v>5661</v>
      </c>
      <c r="G258" s="7"/>
      <c r="H258" s="3" t="s">
        <v>6280</v>
      </c>
      <c r="I258" s="3" t="s">
        <v>4889</v>
      </c>
      <c r="J258" s="3" t="s">
        <v>5536</v>
      </c>
      <c r="K258" s="3" t="s">
        <v>6295</v>
      </c>
      <c r="L258" s="8" t="str">
        <f>HYPERLINK("http://slimages.macys.com/is/image/MCY/15420079 ")</f>
        <v xml:space="preserve">http://slimages.macys.com/is/image/MCY/15420079 </v>
      </c>
    </row>
    <row r="259" spans="1:12" ht="24.75" x14ac:dyDescent="0.25">
      <c r="A259" s="6" t="s">
        <v>4893</v>
      </c>
      <c r="B259" s="3" t="s">
        <v>4887</v>
      </c>
      <c r="C259" s="4">
        <v>2</v>
      </c>
      <c r="D259" s="5">
        <v>55.98</v>
      </c>
      <c r="E259" s="4" t="s">
        <v>4888</v>
      </c>
      <c r="F259" s="3" t="s">
        <v>6010</v>
      </c>
      <c r="G259" s="7"/>
      <c r="H259" s="3" t="s">
        <v>6280</v>
      </c>
      <c r="I259" s="3" t="s">
        <v>4889</v>
      </c>
      <c r="J259" s="3" t="s">
        <v>5536</v>
      </c>
      <c r="K259" s="3" t="s">
        <v>6303</v>
      </c>
      <c r="L259" s="8" t="str">
        <f>HYPERLINK("http://slimages.macys.com/is/image/MCY/15954109 ")</f>
        <v xml:space="preserve">http://slimages.macys.com/is/image/MCY/15954109 </v>
      </c>
    </row>
    <row r="260" spans="1:12" ht="24.75" x14ac:dyDescent="0.25">
      <c r="A260" s="6" t="s">
        <v>4901</v>
      </c>
      <c r="B260" s="3" t="s">
        <v>4902</v>
      </c>
      <c r="C260" s="4">
        <v>1</v>
      </c>
      <c r="D260" s="5">
        <v>27.99</v>
      </c>
      <c r="E260" s="4" t="s">
        <v>4903</v>
      </c>
      <c r="F260" s="3" t="s">
        <v>5815</v>
      </c>
      <c r="G260" s="7"/>
      <c r="H260" s="3" t="s">
        <v>6280</v>
      </c>
      <c r="I260" s="3" t="s">
        <v>4889</v>
      </c>
      <c r="J260" s="3" t="s">
        <v>5536</v>
      </c>
      <c r="K260" s="3" t="s">
        <v>6303</v>
      </c>
      <c r="L260" s="8" t="str">
        <f>HYPERLINK("http://slimages.macys.com/is/image/MCY/9089086 ")</f>
        <v xml:space="preserve">http://slimages.macys.com/is/image/MCY/9089086 </v>
      </c>
    </row>
    <row r="261" spans="1:12" ht="24.75" x14ac:dyDescent="0.25">
      <c r="A261" s="6" t="s">
        <v>4886</v>
      </c>
      <c r="B261" s="3" t="s">
        <v>4887</v>
      </c>
      <c r="C261" s="4">
        <v>2</v>
      </c>
      <c r="D261" s="5">
        <v>55.98</v>
      </c>
      <c r="E261" s="4" t="s">
        <v>4888</v>
      </c>
      <c r="F261" s="3" t="s">
        <v>5793</v>
      </c>
      <c r="G261" s="7"/>
      <c r="H261" s="3" t="s">
        <v>6280</v>
      </c>
      <c r="I261" s="3" t="s">
        <v>4889</v>
      </c>
      <c r="J261" s="3" t="s">
        <v>5536</v>
      </c>
      <c r="K261" s="3" t="s">
        <v>6303</v>
      </c>
      <c r="L261" s="8" t="str">
        <f>HYPERLINK("http://slimages.macys.com/is/image/MCY/15954109 ")</f>
        <v xml:space="preserve">http://slimages.macys.com/is/image/MCY/15954109 </v>
      </c>
    </row>
    <row r="262" spans="1:12" ht="24.75" x14ac:dyDescent="0.25">
      <c r="A262" s="6" t="s">
        <v>2363</v>
      </c>
      <c r="B262" s="3" t="s">
        <v>4895</v>
      </c>
      <c r="C262" s="4">
        <v>1</v>
      </c>
      <c r="D262" s="5">
        <v>27.99</v>
      </c>
      <c r="E262" s="4" t="s">
        <v>4896</v>
      </c>
      <c r="F262" s="3" t="s">
        <v>5604</v>
      </c>
      <c r="G262" s="7"/>
      <c r="H262" s="3" t="s">
        <v>6280</v>
      </c>
      <c r="I262" s="3" t="s">
        <v>4889</v>
      </c>
      <c r="J262" s="3" t="s">
        <v>5536</v>
      </c>
      <c r="K262" s="3" t="s">
        <v>6332</v>
      </c>
      <c r="L262" s="8" t="str">
        <f>HYPERLINK("http://slimages.macys.com/is/image/MCY/9987159 ")</f>
        <v xml:space="preserve">http://slimages.macys.com/is/image/MCY/9987159 </v>
      </c>
    </row>
    <row r="263" spans="1:12" ht="24.75" x14ac:dyDescent="0.25">
      <c r="A263" s="6" t="s">
        <v>2364</v>
      </c>
      <c r="B263" s="3" t="s">
        <v>4905</v>
      </c>
      <c r="C263" s="4">
        <v>1</v>
      </c>
      <c r="D263" s="5">
        <v>27.99</v>
      </c>
      <c r="E263" s="4" t="s">
        <v>4906</v>
      </c>
      <c r="F263" s="3" t="s">
        <v>4216</v>
      </c>
      <c r="G263" s="7"/>
      <c r="H263" s="3" t="s">
        <v>6280</v>
      </c>
      <c r="I263" s="3" t="s">
        <v>4889</v>
      </c>
      <c r="J263" s="3" t="s">
        <v>5536</v>
      </c>
      <c r="K263" s="3" t="s">
        <v>6316</v>
      </c>
      <c r="L263" s="8" t="str">
        <f>HYPERLINK("http://slimages.macys.com/is/image/MCY/15954226 ")</f>
        <v xml:space="preserve">http://slimages.macys.com/is/image/MCY/15954226 </v>
      </c>
    </row>
    <row r="264" spans="1:12" ht="24.75" x14ac:dyDescent="0.25">
      <c r="A264" s="6" t="s">
        <v>4894</v>
      </c>
      <c r="B264" s="3" t="s">
        <v>4895</v>
      </c>
      <c r="C264" s="4">
        <v>1</v>
      </c>
      <c r="D264" s="5">
        <v>27.99</v>
      </c>
      <c r="E264" s="4" t="s">
        <v>4896</v>
      </c>
      <c r="F264" s="3" t="s">
        <v>6010</v>
      </c>
      <c r="G264" s="7"/>
      <c r="H264" s="3" t="s">
        <v>6280</v>
      </c>
      <c r="I264" s="3" t="s">
        <v>4889</v>
      </c>
      <c r="J264" s="3" t="s">
        <v>5536</v>
      </c>
      <c r="K264" s="3" t="s">
        <v>6332</v>
      </c>
      <c r="L264" s="8" t="str">
        <f>HYPERLINK("http://slimages.macys.com/is/image/MCY/9987159 ")</f>
        <v xml:space="preserve">http://slimages.macys.com/is/image/MCY/9987159 </v>
      </c>
    </row>
    <row r="265" spans="1:12" ht="24.75" x14ac:dyDescent="0.25">
      <c r="A265" s="6" t="s">
        <v>4904</v>
      </c>
      <c r="B265" s="3" t="s">
        <v>4905</v>
      </c>
      <c r="C265" s="4">
        <v>2</v>
      </c>
      <c r="D265" s="5">
        <v>55.98</v>
      </c>
      <c r="E265" s="4" t="s">
        <v>4906</v>
      </c>
      <c r="F265" s="3" t="s">
        <v>6983</v>
      </c>
      <c r="G265" s="7"/>
      <c r="H265" s="3" t="s">
        <v>6280</v>
      </c>
      <c r="I265" s="3" t="s">
        <v>4889</v>
      </c>
      <c r="J265" s="3" t="s">
        <v>5536</v>
      </c>
      <c r="K265" s="3" t="s">
        <v>6316</v>
      </c>
      <c r="L265" s="8" t="str">
        <f>HYPERLINK("http://slimages.macys.com/is/image/MCY/15954226 ")</f>
        <v xml:space="preserve">http://slimages.macys.com/is/image/MCY/15954226 </v>
      </c>
    </row>
    <row r="266" spans="1:12" ht="24.75" x14ac:dyDescent="0.25">
      <c r="A266" s="6" t="s">
        <v>2365</v>
      </c>
      <c r="B266" s="3" t="s">
        <v>2366</v>
      </c>
      <c r="C266" s="4">
        <v>1</v>
      </c>
      <c r="D266" s="5">
        <v>40</v>
      </c>
      <c r="E266" s="4" t="s">
        <v>2367</v>
      </c>
      <c r="F266" s="3" t="s">
        <v>5540</v>
      </c>
      <c r="G266" s="7" t="s">
        <v>5562</v>
      </c>
      <c r="H266" s="3" t="s">
        <v>6019</v>
      </c>
      <c r="I266" s="3" t="s">
        <v>6020</v>
      </c>
      <c r="J266" s="3" t="s">
        <v>5536</v>
      </c>
      <c r="K266" s="3" t="s">
        <v>5549</v>
      </c>
      <c r="L266" s="8" t="str">
        <f>HYPERLINK("http://slimages.macys.com/is/image/MCY/12931748 ")</f>
        <v xml:space="preserve">http://slimages.macys.com/is/image/MCY/12931748 </v>
      </c>
    </row>
    <row r="267" spans="1:12" ht="24.75" x14ac:dyDescent="0.25">
      <c r="A267" s="6" t="s">
        <v>6249</v>
      </c>
      <c r="B267" s="3" t="s">
        <v>6250</v>
      </c>
      <c r="C267" s="4">
        <v>1</v>
      </c>
      <c r="D267" s="5">
        <v>27.99</v>
      </c>
      <c r="E267" s="4" t="s">
        <v>6251</v>
      </c>
      <c r="F267" s="3" t="s">
        <v>5540</v>
      </c>
      <c r="G267" s="7" t="s">
        <v>6252</v>
      </c>
      <c r="H267" s="3" t="s">
        <v>5842</v>
      </c>
      <c r="I267" s="3" t="s">
        <v>6253</v>
      </c>
      <c r="J267" s="3" t="s">
        <v>5536</v>
      </c>
      <c r="K267" s="3" t="s">
        <v>6254</v>
      </c>
      <c r="L267" s="8" t="str">
        <f>HYPERLINK("http://slimages.macys.com/is/image/MCY/14370448 ")</f>
        <v xml:space="preserve">http://slimages.macys.com/is/image/MCY/14370448 </v>
      </c>
    </row>
    <row r="268" spans="1:12" ht="24.75" x14ac:dyDescent="0.25">
      <c r="A268" s="6" t="s">
        <v>2368</v>
      </c>
      <c r="B268" s="3" t="s">
        <v>2369</v>
      </c>
      <c r="C268" s="4">
        <v>1</v>
      </c>
      <c r="D268" s="5">
        <v>25</v>
      </c>
      <c r="E268" s="4" t="s">
        <v>2370</v>
      </c>
      <c r="F268" s="3" t="s">
        <v>5552</v>
      </c>
      <c r="G268" s="7"/>
      <c r="H268" s="3" t="s">
        <v>5825</v>
      </c>
      <c r="I268" s="3" t="s">
        <v>6265</v>
      </c>
      <c r="J268" s="3" t="s">
        <v>5536</v>
      </c>
      <c r="K268" s="3" t="s">
        <v>6266</v>
      </c>
      <c r="L268" s="8" t="str">
        <f>HYPERLINK("http://slimages.macys.com/is/image/MCY/13769557 ")</f>
        <v xml:space="preserve">http://slimages.macys.com/is/image/MCY/13769557 </v>
      </c>
    </row>
    <row r="269" spans="1:12" ht="24.75" x14ac:dyDescent="0.25">
      <c r="A269" s="6" t="s">
        <v>2371</v>
      </c>
      <c r="B269" s="3" t="s">
        <v>2369</v>
      </c>
      <c r="C269" s="4">
        <v>2</v>
      </c>
      <c r="D269" s="5">
        <v>50</v>
      </c>
      <c r="E269" s="4" t="s">
        <v>2370</v>
      </c>
      <c r="F269" s="3" t="s">
        <v>5552</v>
      </c>
      <c r="G269" s="7"/>
      <c r="H269" s="3" t="s">
        <v>5825</v>
      </c>
      <c r="I269" s="3" t="s">
        <v>6265</v>
      </c>
      <c r="J269" s="3" t="s">
        <v>5536</v>
      </c>
      <c r="K269" s="3" t="s">
        <v>6266</v>
      </c>
      <c r="L269" s="8" t="str">
        <f>HYPERLINK("http://slimages.macys.com/is/image/MCY/13769557 ")</f>
        <v xml:space="preserve">http://slimages.macys.com/is/image/MCY/13769557 </v>
      </c>
    </row>
    <row r="270" spans="1:12" ht="24.75" x14ac:dyDescent="0.25">
      <c r="A270" s="6" t="s">
        <v>2372</v>
      </c>
      <c r="B270" s="3" t="s">
        <v>2369</v>
      </c>
      <c r="C270" s="4">
        <v>1</v>
      </c>
      <c r="D270" s="5">
        <v>25</v>
      </c>
      <c r="E270" s="4" t="s">
        <v>2370</v>
      </c>
      <c r="F270" s="3" t="s">
        <v>5552</v>
      </c>
      <c r="G270" s="7"/>
      <c r="H270" s="3" t="s">
        <v>5825</v>
      </c>
      <c r="I270" s="3" t="s">
        <v>6265</v>
      </c>
      <c r="J270" s="3" t="s">
        <v>5536</v>
      </c>
      <c r="K270" s="3" t="s">
        <v>6266</v>
      </c>
      <c r="L270" s="8" t="str">
        <f>HYPERLINK("http://slimages.macys.com/is/image/MCY/13769557 ")</f>
        <v xml:space="preserve">http://slimages.macys.com/is/image/MCY/13769557 </v>
      </c>
    </row>
    <row r="271" spans="1:12" x14ac:dyDescent="0.25">
      <c r="A271" s="6" t="s">
        <v>2373</v>
      </c>
      <c r="B271" s="3" t="s">
        <v>2374</v>
      </c>
      <c r="C271" s="4">
        <v>1</v>
      </c>
      <c r="D271" s="5">
        <v>39.99</v>
      </c>
      <c r="E271" s="4" t="s">
        <v>2375</v>
      </c>
      <c r="F271" s="3" t="s">
        <v>5783</v>
      </c>
      <c r="G271" s="7" t="s">
        <v>5598</v>
      </c>
      <c r="H271" s="3" t="s">
        <v>6003</v>
      </c>
      <c r="I271" s="3" t="s">
        <v>6004</v>
      </c>
      <c r="J271" s="3" t="s">
        <v>5536</v>
      </c>
      <c r="K271" s="3" t="s">
        <v>5594</v>
      </c>
      <c r="L271" s="8" t="str">
        <f>HYPERLINK("http://slimages.macys.com/is/image/MCY/15384455 ")</f>
        <v xml:space="preserve">http://slimages.macys.com/is/image/MCY/15384455 </v>
      </c>
    </row>
    <row r="272" spans="1:12" x14ac:dyDescent="0.25">
      <c r="A272" s="6" t="s">
        <v>2376</v>
      </c>
      <c r="B272" s="3" t="s">
        <v>2374</v>
      </c>
      <c r="C272" s="4">
        <v>1</v>
      </c>
      <c r="D272" s="5">
        <v>39.99</v>
      </c>
      <c r="E272" s="4" t="s">
        <v>2375</v>
      </c>
      <c r="F272" s="3" t="s">
        <v>5783</v>
      </c>
      <c r="G272" s="7" t="s">
        <v>5533</v>
      </c>
      <c r="H272" s="3" t="s">
        <v>6003</v>
      </c>
      <c r="I272" s="3" t="s">
        <v>6004</v>
      </c>
      <c r="J272" s="3" t="s">
        <v>5536</v>
      </c>
      <c r="K272" s="3" t="s">
        <v>5594</v>
      </c>
      <c r="L272" s="8" t="str">
        <f>HYPERLINK("http://slimages.macys.com/is/image/MCY/15384455 ")</f>
        <v xml:space="preserve">http://slimages.macys.com/is/image/MCY/15384455 </v>
      </c>
    </row>
    <row r="273" spans="1:12" ht="24.75" x14ac:dyDescent="0.25">
      <c r="A273" s="6" t="s">
        <v>2377</v>
      </c>
      <c r="B273" s="3" t="s">
        <v>2378</v>
      </c>
      <c r="C273" s="4">
        <v>1</v>
      </c>
      <c r="D273" s="5">
        <v>24.99</v>
      </c>
      <c r="E273" s="4">
        <v>54588</v>
      </c>
      <c r="F273" s="3" t="s">
        <v>5803</v>
      </c>
      <c r="G273" s="7" t="s">
        <v>6252</v>
      </c>
      <c r="H273" s="3" t="s">
        <v>5899</v>
      </c>
      <c r="I273" s="3" t="s">
        <v>2379</v>
      </c>
      <c r="J273" s="3" t="s">
        <v>5536</v>
      </c>
      <c r="K273" s="3" t="s">
        <v>4135</v>
      </c>
      <c r="L273" s="8" t="str">
        <f>HYPERLINK("http://slimages.macys.com/is/image/MCY/11859720 ")</f>
        <v xml:space="preserve">http://slimages.macys.com/is/image/MCY/11859720 </v>
      </c>
    </row>
    <row r="274" spans="1:12" ht="24.75" x14ac:dyDescent="0.25">
      <c r="A274" s="6" t="s">
        <v>6262</v>
      </c>
      <c r="B274" s="3" t="s">
        <v>6263</v>
      </c>
      <c r="C274" s="4">
        <v>1</v>
      </c>
      <c r="D274" s="5">
        <v>25.5</v>
      </c>
      <c r="E274" s="4" t="s">
        <v>6264</v>
      </c>
      <c r="F274" s="3" t="s">
        <v>5578</v>
      </c>
      <c r="G274" s="7"/>
      <c r="H274" s="3" t="s">
        <v>5825</v>
      </c>
      <c r="I274" s="3" t="s">
        <v>6265</v>
      </c>
      <c r="J274" s="3" t="s">
        <v>5536</v>
      </c>
      <c r="K274" s="3" t="s">
        <v>6266</v>
      </c>
      <c r="L274" s="8" t="str">
        <f>HYPERLINK("http://slimages.macys.com/is/image/MCY/11518029 ")</f>
        <v xml:space="preserve">http://slimages.macys.com/is/image/MCY/11518029 </v>
      </c>
    </row>
    <row r="275" spans="1:12" ht="24.75" x14ac:dyDescent="0.25">
      <c r="A275" s="6" t="s">
        <v>2380</v>
      </c>
      <c r="B275" s="3" t="s">
        <v>6263</v>
      </c>
      <c r="C275" s="4">
        <v>1</v>
      </c>
      <c r="D275" s="5">
        <v>25.5</v>
      </c>
      <c r="E275" s="4" t="s">
        <v>6264</v>
      </c>
      <c r="F275" s="3" t="s">
        <v>6335</v>
      </c>
      <c r="G275" s="7"/>
      <c r="H275" s="3" t="s">
        <v>5825</v>
      </c>
      <c r="I275" s="3" t="s">
        <v>6265</v>
      </c>
      <c r="J275" s="3" t="s">
        <v>5536</v>
      </c>
      <c r="K275" s="3" t="s">
        <v>6266</v>
      </c>
      <c r="L275" s="8" t="str">
        <f>HYPERLINK("http://slimages.macys.com/is/image/MCY/11518029 ")</f>
        <v xml:space="preserve">http://slimages.macys.com/is/image/MCY/11518029 </v>
      </c>
    </row>
    <row r="276" spans="1:12" ht="24.75" x14ac:dyDescent="0.25">
      <c r="A276" s="6" t="s">
        <v>2381</v>
      </c>
      <c r="B276" s="3" t="s">
        <v>6263</v>
      </c>
      <c r="C276" s="4">
        <v>1</v>
      </c>
      <c r="D276" s="5">
        <v>25.5</v>
      </c>
      <c r="E276" s="4" t="s">
        <v>6264</v>
      </c>
      <c r="F276" s="3" t="s">
        <v>6335</v>
      </c>
      <c r="G276" s="7"/>
      <c r="H276" s="3" t="s">
        <v>5825</v>
      </c>
      <c r="I276" s="3" t="s">
        <v>6265</v>
      </c>
      <c r="J276" s="3" t="s">
        <v>5536</v>
      </c>
      <c r="K276" s="3" t="s">
        <v>6266</v>
      </c>
      <c r="L276" s="8" t="str">
        <f>HYPERLINK("http://slimages.macys.com/is/image/MCY/11518029 ")</f>
        <v xml:space="preserve">http://slimages.macys.com/is/image/MCY/11518029 </v>
      </c>
    </row>
    <row r="277" spans="1:12" x14ac:dyDescent="0.25">
      <c r="A277" s="6" t="s">
        <v>2382</v>
      </c>
      <c r="B277" s="3" t="s">
        <v>2383</v>
      </c>
      <c r="C277" s="4">
        <v>1</v>
      </c>
      <c r="D277" s="5">
        <v>39.99</v>
      </c>
      <c r="E277" s="4" t="s">
        <v>2384</v>
      </c>
      <c r="F277" s="3" t="s">
        <v>5977</v>
      </c>
      <c r="G277" s="7" t="s">
        <v>5596</v>
      </c>
      <c r="H277" s="3" t="s">
        <v>6065</v>
      </c>
      <c r="I277" s="3" t="s">
        <v>6066</v>
      </c>
      <c r="J277" s="3" t="s">
        <v>5536</v>
      </c>
      <c r="K277" s="3" t="s">
        <v>5594</v>
      </c>
      <c r="L277" s="8" t="str">
        <f>HYPERLINK("http://slimages.macys.com/is/image/MCY/15173358 ")</f>
        <v xml:space="preserve">http://slimages.macys.com/is/image/MCY/15173358 </v>
      </c>
    </row>
    <row r="278" spans="1:12" x14ac:dyDescent="0.25">
      <c r="A278" s="6" t="s">
        <v>2385</v>
      </c>
      <c r="B278" s="3" t="s">
        <v>2386</v>
      </c>
      <c r="C278" s="4">
        <v>1</v>
      </c>
      <c r="D278" s="5">
        <v>39.99</v>
      </c>
      <c r="E278" s="4" t="s">
        <v>2387</v>
      </c>
      <c r="F278" s="3" t="s">
        <v>5783</v>
      </c>
      <c r="G278" s="7" t="s">
        <v>5533</v>
      </c>
      <c r="H278" s="3" t="s">
        <v>6065</v>
      </c>
      <c r="I278" s="3" t="s">
        <v>6066</v>
      </c>
      <c r="J278" s="3" t="s">
        <v>5536</v>
      </c>
      <c r="K278" s="3" t="s">
        <v>5594</v>
      </c>
      <c r="L278" s="8" t="str">
        <f>HYPERLINK("http://slimages.macys.com/is/image/MCY/12898740 ")</f>
        <v xml:space="preserve">http://slimages.macys.com/is/image/MCY/12898740 </v>
      </c>
    </row>
    <row r="279" spans="1:12" ht="24.75" x14ac:dyDescent="0.25">
      <c r="A279" s="6" t="s">
        <v>6336</v>
      </c>
      <c r="B279" s="3" t="s">
        <v>6337</v>
      </c>
      <c r="C279" s="4">
        <v>1</v>
      </c>
      <c r="D279" s="5">
        <v>28</v>
      </c>
      <c r="E279" s="4">
        <v>87994403</v>
      </c>
      <c r="F279" s="3" t="s">
        <v>5532</v>
      </c>
      <c r="G279" s="7" t="s">
        <v>5898</v>
      </c>
      <c r="H279" s="3" t="s">
        <v>6280</v>
      </c>
      <c r="I279" s="3" t="s">
        <v>6281</v>
      </c>
      <c r="J279" s="3" t="s">
        <v>5536</v>
      </c>
      <c r="K279" s="3" t="s">
        <v>6338</v>
      </c>
      <c r="L279" s="8" t="str">
        <f>HYPERLINK("http://slimages.macys.com/is/image/MCY/15882927 ")</f>
        <v xml:space="preserve">http://slimages.macys.com/is/image/MCY/15882927 </v>
      </c>
    </row>
    <row r="280" spans="1:12" ht="36.75" x14ac:dyDescent="0.25">
      <c r="A280" s="6" t="s">
        <v>6318</v>
      </c>
      <c r="B280" s="3" t="s">
        <v>6319</v>
      </c>
      <c r="C280" s="4">
        <v>1</v>
      </c>
      <c r="D280" s="5">
        <v>28</v>
      </c>
      <c r="E280" s="4" t="s">
        <v>6320</v>
      </c>
      <c r="F280" s="3" t="s">
        <v>5754</v>
      </c>
      <c r="G280" s="7" t="s">
        <v>5898</v>
      </c>
      <c r="H280" s="3" t="s">
        <v>6280</v>
      </c>
      <c r="I280" s="3" t="s">
        <v>6288</v>
      </c>
      <c r="J280" s="3" t="s">
        <v>5536</v>
      </c>
      <c r="K280" s="3" t="s">
        <v>6321</v>
      </c>
      <c r="L280" s="8" t="str">
        <f>HYPERLINK("http://slimages.macys.com/is/image/MCY/15661626 ")</f>
        <v xml:space="preserve">http://slimages.macys.com/is/image/MCY/15661626 </v>
      </c>
    </row>
    <row r="281" spans="1:12" ht="24.75" x14ac:dyDescent="0.25">
      <c r="A281" s="6" t="s">
        <v>6285</v>
      </c>
      <c r="B281" s="3" t="s">
        <v>6286</v>
      </c>
      <c r="C281" s="4">
        <v>1</v>
      </c>
      <c r="D281" s="5">
        <v>28</v>
      </c>
      <c r="E281" s="4" t="s">
        <v>6287</v>
      </c>
      <c r="F281" s="3" t="s">
        <v>5540</v>
      </c>
      <c r="G281" s="7" t="s">
        <v>5898</v>
      </c>
      <c r="H281" s="3" t="s">
        <v>6280</v>
      </c>
      <c r="I281" s="3" t="s">
        <v>6288</v>
      </c>
      <c r="J281" s="3" t="s">
        <v>5536</v>
      </c>
      <c r="K281" s="3" t="s">
        <v>6289</v>
      </c>
      <c r="L281" s="8" t="str">
        <f>HYPERLINK("http://slimages.macys.com/is/image/MCY/15604747 ")</f>
        <v xml:space="preserve">http://slimages.macys.com/is/image/MCY/15604747 </v>
      </c>
    </row>
    <row r="282" spans="1:12" ht="24.75" x14ac:dyDescent="0.25">
      <c r="A282" s="6" t="s">
        <v>6305</v>
      </c>
      <c r="B282" s="3" t="s">
        <v>6306</v>
      </c>
      <c r="C282" s="4">
        <v>1</v>
      </c>
      <c r="D282" s="5">
        <v>28</v>
      </c>
      <c r="E282" s="4">
        <v>87994405</v>
      </c>
      <c r="F282" s="3" t="s">
        <v>5532</v>
      </c>
      <c r="G282" s="7" t="s">
        <v>5898</v>
      </c>
      <c r="H282" s="3" t="s">
        <v>6280</v>
      </c>
      <c r="I282" s="3" t="s">
        <v>6281</v>
      </c>
      <c r="J282" s="3" t="s">
        <v>5536</v>
      </c>
      <c r="K282" s="3" t="s">
        <v>6295</v>
      </c>
      <c r="L282" s="8" t="str">
        <f>HYPERLINK("http://slimages.macys.com/is/image/MCY/16090922 ")</f>
        <v xml:space="preserve">http://slimages.macys.com/is/image/MCY/16090922 </v>
      </c>
    </row>
    <row r="283" spans="1:12" ht="24.75" x14ac:dyDescent="0.25">
      <c r="A283" s="6" t="s">
        <v>6324</v>
      </c>
      <c r="B283" s="3" t="s">
        <v>6325</v>
      </c>
      <c r="C283" s="4">
        <v>1</v>
      </c>
      <c r="D283" s="5">
        <v>28</v>
      </c>
      <c r="E283" s="4" t="s">
        <v>6326</v>
      </c>
      <c r="F283" s="3" t="s">
        <v>5540</v>
      </c>
      <c r="G283" s="7" t="s">
        <v>5898</v>
      </c>
      <c r="H283" s="3" t="s">
        <v>6280</v>
      </c>
      <c r="I283" s="3" t="s">
        <v>6288</v>
      </c>
      <c r="J283" s="3" t="s">
        <v>5536</v>
      </c>
      <c r="K283" s="3" t="s">
        <v>6327</v>
      </c>
      <c r="L283" s="8" t="str">
        <f>HYPERLINK("http://slimages.macys.com/is/image/MCY/15145045 ")</f>
        <v xml:space="preserve">http://slimages.macys.com/is/image/MCY/15145045 </v>
      </c>
    </row>
    <row r="284" spans="1:12" ht="24.75" x14ac:dyDescent="0.25">
      <c r="A284" s="6" t="s">
        <v>4204</v>
      </c>
      <c r="B284" s="3" t="s">
        <v>4194</v>
      </c>
      <c r="C284" s="4">
        <v>1</v>
      </c>
      <c r="D284" s="5">
        <v>28</v>
      </c>
      <c r="E284" s="4" t="s">
        <v>4195</v>
      </c>
      <c r="F284" s="3" t="s">
        <v>6075</v>
      </c>
      <c r="G284" s="7" t="s">
        <v>5898</v>
      </c>
      <c r="H284" s="3" t="s">
        <v>6280</v>
      </c>
      <c r="I284" s="3" t="s">
        <v>6312</v>
      </c>
      <c r="J284" s="3" t="s">
        <v>5536</v>
      </c>
      <c r="K284" s="3" t="s">
        <v>6295</v>
      </c>
      <c r="L284" s="8" t="str">
        <f>HYPERLINK("http://slimages.macys.com/is/image/MCY/15883849 ")</f>
        <v xml:space="preserve">http://slimages.macys.com/is/image/MCY/15883849 </v>
      </c>
    </row>
    <row r="285" spans="1:12" ht="24.75" x14ac:dyDescent="0.25">
      <c r="A285" s="6" t="s">
        <v>4230</v>
      </c>
      <c r="B285" s="3" t="s">
        <v>6337</v>
      </c>
      <c r="C285" s="4">
        <v>1</v>
      </c>
      <c r="D285" s="5">
        <v>28</v>
      </c>
      <c r="E285" s="4">
        <v>87994403</v>
      </c>
      <c r="F285" s="3" t="s">
        <v>5552</v>
      </c>
      <c r="G285" s="7" t="s">
        <v>5898</v>
      </c>
      <c r="H285" s="3" t="s">
        <v>6280</v>
      </c>
      <c r="I285" s="3" t="s">
        <v>6281</v>
      </c>
      <c r="J285" s="3" t="s">
        <v>5536</v>
      </c>
      <c r="K285" s="3" t="s">
        <v>6338</v>
      </c>
      <c r="L285" s="8" t="str">
        <f>HYPERLINK("http://slimages.macys.com/is/image/MCY/15882927 ")</f>
        <v xml:space="preserve">http://slimages.macys.com/is/image/MCY/15882927 </v>
      </c>
    </row>
    <row r="286" spans="1:12" ht="24.75" x14ac:dyDescent="0.25">
      <c r="A286" s="6" t="s">
        <v>4199</v>
      </c>
      <c r="B286" s="3" t="s">
        <v>4200</v>
      </c>
      <c r="C286" s="4">
        <v>1</v>
      </c>
      <c r="D286" s="5">
        <v>28</v>
      </c>
      <c r="E286" s="4" t="s">
        <v>4201</v>
      </c>
      <c r="F286" s="3" t="s">
        <v>6010</v>
      </c>
      <c r="G286" s="7" t="s">
        <v>5898</v>
      </c>
      <c r="H286" s="3" t="s">
        <v>6280</v>
      </c>
      <c r="I286" s="3" t="s">
        <v>6312</v>
      </c>
      <c r="J286" s="3" t="s">
        <v>5536</v>
      </c>
      <c r="K286" s="3" t="s">
        <v>6372</v>
      </c>
      <c r="L286" s="8" t="str">
        <f>HYPERLINK("http://slimages.macys.com/is/image/MCY/14806164 ")</f>
        <v xml:space="preserve">http://slimages.macys.com/is/image/MCY/14806164 </v>
      </c>
    </row>
    <row r="287" spans="1:12" ht="24.75" x14ac:dyDescent="0.25">
      <c r="A287" s="6" t="s">
        <v>6346</v>
      </c>
      <c r="B287" s="3" t="s">
        <v>6347</v>
      </c>
      <c r="C287" s="4">
        <v>1</v>
      </c>
      <c r="D287" s="5">
        <v>28</v>
      </c>
      <c r="E287" s="4">
        <v>87994409</v>
      </c>
      <c r="F287" s="3" t="s">
        <v>5661</v>
      </c>
      <c r="G287" s="7" t="s">
        <v>5898</v>
      </c>
      <c r="H287" s="3" t="s">
        <v>6280</v>
      </c>
      <c r="I287" s="3" t="s">
        <v>6281</v>
      </c>
      <c r="J287" s="3" t="s">
        <v>5536</v>
      </c>
      <c r="K287" s="3" t="s">
        <v>6332</v>
      </c>
      <c r="L287" s="8" t="str">
        <f>HYPERLINK("http://slimages.macys.com/is/image/MCY/15147571 ")</f>
        <v xml:space="preserve">http://slimages.macys.com/is/image/MCY/15147571 </v>
      </c>
    </row>
    <row r="288" spans="1:12" ht="24.75" x14ac:dyDescent="0.25">
      <c r="A288" s="6" t="s">
        <v>6340</v>
      </c>
      <c r="B288" s="3" t="s">
        <v>6341</v>
      </c>
      <c r="C288" s="4">
        <v>2</v>
      </c>
      <c r="D288" s="5">
        <v>56</v>
      </c>
      <c r="E288" s="4">
        <v>87994201</v>
      </c>
      <c r="F288" s="3" t="s">
        <v>5661</v>
      </c>
      <c r="G288" s="7" t="s">
        <v>5898</v>
      </c>
      <c r="H288" s="3" t="s">
        <v>6280</v>
      </c>
      <c r="I288" s="3" t="s">
        <v>6281</v>
      </c>
      <c r="J288" s="3" t="s">
        <v>5536</v>
      </c>
      <c r="K288" s="3" t="s">
        <v>6342</v>
      </c>
      <c r="L288" s="8" t="str">
        <f>HYPERLINK("http://slimages.macys.com/is/image/MCY/15147424 ")</f>
        <v xml:space="preserve">http://slimages.macys.com/is/image/MCY/15147424 </v>
      </c>
    </row>
    <row r="289" spans="1:12" ht="24.75" x14ac:dyDescent="0.25">
      <c r="A289" s="6" t="s">
        <v>6363</v>
      </c>
      <c r="B289" s="3" t="s">
        <v>6341</v>
      </c>
      <c r="C289" s="4">
        <v>1</v>
      </c>
      <c r="D289" s="5">
        <v>28</v>
      </c>
      <c r="E289" s="4">
        <v>87994201</v>
      </c>
      <c r="F289" s="3" t="s">
        <v>5625</v>
      </c>
      <c r="G289" s="7" t="s">
        <v>5898</v>
      </c>
      <c r="H289" s="3" t="s">
        <v>6280</v>
      </c>
      <c r="I289" s="3" t="s">
        <v>6281</v>
      </c>
      <c r="J289" s="3" t="s">
        <v>5536</v>
      </c>
      <c r="K289" s="3" t="s">
        <v>6342</v>
      </c>
      <c r="L289" s="8" t="str">
        <f>HYPERLINK("http://slimages.macys.com/is/image/MCY/15147424 ")</f>
        <v xml:space="preserve">http://slimages.macys.com/is/image/MCY/15147424 </v>
      </c>
    </row>
    <row r="290" spans="1:12" ht="24.75" x14ac:dyDescent="0.25">
      <c r="A290" s="6" t="s">
        <v>6354</v>
      </c>
      <c r="B290" s="3" t="s">
        <v>6294</v>
      </c>
      <c r="C290" s="4">
        <v>1</v>
      </c>
      <c r="D290" s="5">
        <v>28</v>
      </c>
      <c r="E290" s="4">
        <v>87994402</v>
      </c>
      <c r="F290" s="3" t="s">
        <v>5793</v>
      </c>
      <c r="G290" s="7" t="s">
        <v>5898</v>
      </c>
      <c r="H290" s="3" t="s">
        <v>6280</v>
      </c>
      <c r="I290" s="3" t="s">
        <v>6281</v>
      </c>
      <c r="J290" s="3" t="s">
        <v>5536</v>
      </c>
      <c r="K290" s="3" t="s">
        <v>6295</v>
      </c>
      <c r="L290" s="8" t="str">
        <f>HYPERLINK("http://slimages.macys.com/is/image/MCY/15884038 ")</f>
        <v xml:space="preserve">http://slimages.macys.com/is/image/MCY/15884038 </v>
      </c>
    </row>
    <row r="291" spans="1:12" ht="24.75" x14ac:dyDescent="0.25">
      <c r="A291" s="6" t="s">
        <v>6394</v>
      </c>
      <c r="B291" s="3" t="s">
        <v>6347</v>
      </c>
      <c r="C291" s="4">
        <v>1</v>
      </c>
      <c r="D291" s="5">
        <v>28</v>
      </c>
      <c r="E291" s="4">
        <v>87994409</v>
      </c>
      <c r="F291" s="3" t="s">
        <v>5532</v>
      </c>
      <c r="G291" s="7" t="s">
        <v>5898</v>
      </c>
      <c r="H291" s="3" t="s">
        <v>6280</v>
      </c>
      <c r="I291" s="3" t="s">
        <v>6281</v>
      </c>
      <c r="J291" s="3" t="s">
        <v>5536</v>
      </c>
      <c r="K291" s="3" t="s">
        <v>6332</v>
      </c>
      <c r="L291" s="8" t="str">
        <f>HYPERLINK("http://slimages.macys.com/is/image/MCY/15147571 ")</f>
        <v xml:space="preserve">http://slimages.macys.com/is/image/MCY/15147571 </v>
      </c>
    </row>
    <row r="292" spans="1:12" ht="24.75" x14ac:dyDescent="0.25">
      <c r="A292" s="6" t="s">
        <v>2388</v>
      </c>
      <c r="B292" s="3" t="s">
        <v>2389</v>
      </c>
      <c r="C292" s="4">
        <v>1</v>
      </c>
      <c r="D292" s="5">
        <v>28</v>
      </c>
      <c r="E292" s="4" t="s">
        <v>2390</v>
      </c>
      <c r="F292" s="3" t="s">
        <v>6335</v>
      </c>
      <c r="G292" s="7" t="s">
        <v>5898</v>
      </c>
      <c r="H292" s="3" t="s">
        <v>6280</v>
      </c>
      <c r="I292" s="3" t="s">
        <v>6312</v>
      </c>
      <c r="J292" s="3" t="s">
        <v>5536</v>
      </c>
      <c r="K292" s="3" t="s">
        <v>6295</v>
      </c>
      <c r="L292" s="8" t="str">
        <f>HYPERLINK("http://slimages.macys.com/is/image/MCY/14827232 ")</f>
        <v xml:space="preserve">http://slimages.macys.com/is/image/MCY/14827232 </v>
      </c>
    </row>
    <row r="293" spans="1:12" ht="24.75" x14ac:dyDescent="0.25">
      <c r="A293" s="6" t="s">
        <v>5024</v>
      </c>
      <c r="B293" s="3" t="s">
        <v>5025</v>
      </c>
      <c r="C293" s="4">
        <v>1</v>
      </c>
      <c r="D293" s="5">
        <v>28</v>
      </c>
      <c r="E293" s="4" t="s">
        <v>4175</v>
      </c>
      <c r="F293" s="3" t="s">
        <v>5625</v>
      </c>
      <c r="G293" s="7" t="s">
        <v>5898</v>
      </c>
      <c r="H293" s="3" t="s">
        <v>6280</v>
      </c>
      <c r="I293" s="3" t="s">
        <v>6312</v>
      </c>
      <c r="J293" s="3" t="s">
        <v>5536</v>
      </c>
      <c r="K293" s="3" t="s">
        <v>6295</v>
      </c>
      <c r="L293" s="8" t="str">
        <f>HYPERLINK("http://slimages.macys.com/is/image/MCY/14373259 ")</f>
        <v xml:space="preserve">http://slimages.macys.com/is/image/MCY/14373259 </v>
      </c>
    </row>
    <row r="294" spans="1:12" ht="24.75" x14ac:dyDescent="0.25">
      <c r="A294" s="6" t="s">
        <v>2391</v>
      </c>
      <c r="B294" s="3" t="s">
        <v>2392</v>
      </c>
      <c r="C294" s="4">
        <v>1</v>
      </c>
      <c r="D294" s="5">
        <v>28</v>
      </c>
      <c r="E294" s="4" t="s">
        <v>2393</v>
      </c>
      <c r="F294" s="3" t="s">
        <v>5625</v>
      </c>
      <c r="G294" s="7" t="s">
        <v>5898</v>
      </c>
      <c r="H294" s="3" t="s">
        <v>6280</v>
      </c>
      <c r="I294" s="3" t="s">
        <v>6288</v>
      </c>
      <c r="J294" s="3" t="s">
        <v>5536</v>
      </c>
      <c r="K294" s="3" t="s">
        <v>6295</v>
      </c>
      <c r="L294" s="8" t="str">
        <f>HYPERLINK("http://slimages.macys.com/is/image/MCY/15883264 ")</f>
        <v xml:space="preserve">http://slimages.macys.com/is/image/MCY/15883264 </v>
      </c>
    </row>
    <row r="295" spans="1:12" ht="24.75" x14ac:dyDescent="0.25">
      <c r="A295" s="6" t="s">
        <v>5005</v>
      </c>
      <c r="B295" s="3" t="s">
        <v>6310</v>
      </c>
      <c r="C295" s="4">
        <v>1</v>
      </c>
      <c r="D295" s="5">
        <v>28</v>
      </c>
      <c r="E295" s="4" t="s">
        <v>6311</v>
      </c>
      <c r="F295" s="3" t="s">
        <v>6335</v>
      </c>
      <c r="G295" s="7" t="s">
        <v>5898</v>
      </c>
      <c r="H295" s="3" t="s">
        <v>6280</v>
      </c>
      <c r="I295" s="3" t="s">
        <v>6312</v>
      </c>
      <c r="J295" s="3" t="s">
        <v>5536</v>
      </c>
      <c r="K295" s="3" t="s">
        <v>6313</v>
      </c>
      <c r="L295" s="8" t="str">
        <f>HYPERLINK("http://slimages.macys.com/is/image/MCY/15917644 ")</f>
        <v xml:space="preserve">http://slimages.macys.com/is/image/MCY/15917644 </v>
      </c>
    </row>
    <row r="296" spans="1:12" ht="24.75" x14ac:dyDescent="0.25">
      <c r="A296" s="6" t="s">
        <v>2394</v>
      </c>
      <c r="B296" s="3" t="s">
        <v>4222</v>
      </c>
      <c r="C296" s="4">
        <v>1</v>
      </c>
      <c r="D296" s="5">
        <v>28</v>
      </c>
      <c r="E296" s="4" t="s">
        <v>4223</v>
      </c>
      <c r="F296" s="3" t="s">
        <v>5815</v>
      </c>
      <c r="G296" s="7" t="s">
        <v>5898</v>
      </c>
      <c r="H296" s="3" t="s">
        <v>6280</v>
      </c>
      <c r="I296" s="3" t="s">
        <v>6312</v>
      </c>
      <c r="J296" s="3" t="s">
        <v>5536</v>
      </c>
      <c r="K296" s="3" t="s">
        <v>4224</v>
      </c>
      <c r="L296" s="8" t="str">
        <f>HYPERLINK("http://slimages.macys.com/is/image/MCY/10137839 ")</f>
        <v xml:space="preserve">http://slimages.macys.com/is/image/MCY/10137839 </v>
      </c>
    </row>
    <row r="297" spans="1:12" ht="24.75" x14ac:dyDescent="0.25">
      <c r="A297" s="6" t="s">
        <v>2395</v>
      </c>
      <c r="B297" s="3" t="s">
        <v>6455</v>
      </c>
      <c r="C297" s="4">
        <v>1</v>
      </c>
      <c r="D297" s="5">
        <v>27.99</v>
      </c>
      <c r="E297" s="4" t="s">
        <v>6456</v>
      </c>
      <c r="F297" s="3" t="s">
        <v>5532</v>
      </c>
      <c r="G297" s="7" t="s">
        <v>6252</v>
      </c>
      <c r="H297" s="3" t="s">
        <v>6280</v>
      </c>
      <c r="I297" s="3" t="s">
        <v>6420</v>
      </c>
      <c r="J297" s="3" t="s">
        <v>5536</v>
      </c>
      <c r="K297" s="3" t="s">
        <v>5727</v>
      </c>
      <c r="L297" s="8" t="str">
        <f>HYPERLINK("http://slimages.macys.com/is/image/MCY/15133430 ")</f>
        <v xml:space="preserve">http://slimages.macys.com/is/image/MCY/15133430 </v>
      </c>
    </row>
    <row r="298" spans="1:12" ht="24.75" x14ac:dyDescent="0.25">
      <c r="A298" s="6" t="s">
        <v>2396</v>
      </c>
      <c r="B298" s="3" t="s">
        <v>2369</v>
      </c>
      <c r="C298" s="4">
        <v>1</v>
      </c>
      <c r="D298" s="5">
        <v>25</v>
      </c>
      <c r="E298" s="4" t="s">
        <v>2370</v>
      </c>
      <c r="F298" s="3" t="s">
        <v>5783</v>
      </c>
      <c r="G298" s="7"/>
      <c r="H298" s="3" t="s">
        <v>5825</v>
      </c>
      <c r="I298" s="3" t="s">
        <v>6265</v>
      </c>
      <c r="J298" s="3" t="s">
        <v>5536</v>
      </c>
      <c r="K298" s="3" t="s">
        <v>6266</v>
      </c>
      <c r="L298" s="8" t="str">
        <f>HYPERLINK("http://slimages.macys.com/is/image/MCY/13769557 ")</f>
        <v xml:space="preserve">http://slimages.macys.com/is/image/MCY/13769557 </v>
      </c>
    </row>
    <row r="299" spans="1:12" ht="24.75" x14ac:dyDescent="0.25">
      <c r="A299" s="6" t="s">
        <v>6467</v>
      </c>
      <c r="B299" s="3" t="s">
        <v>6465</v>
      </c>
      <c r="C299" s="4">
        <v>1</v>
      </c>
      <c r="D299" s="5">
        <v>23</v>
      </c>
      <c r="E299" s="4" t="s">
        <v>6466</v>
      </c>
      <c r="F299" s="3" t="s">
        <v>5552</v>
      </c>
      <c r="G299" s="7" t="s">
        <v>5762</v>
      </c>
      <c r="H299" s="3" t="s">
        <v>5825</v>
      </c>
      <c r="I299" s="3" t="s">
        <v>5826</v>
      </c>
      <c r="J299" s="3" t="s">
        <v>5536</v>
      </c>
      <c r="K299" s="3" t="s">
        <v>5594</v>
      </c>
      <c r="L299" s="8" t="str">
        <f>HYPERLINK("http://slimages.macys.com/is/image/MCY/10267363 ")</f>
        <v xml:space="preserve">http://slimages.macys.com/is/image/MCY/10267363 </v>
      </c>
    </row>
    <row r="300" spans="1:12" x14ac:dyDescent="0.25">
      <c r="A300" s="6" t="s">
        <v>2397</v>
      </c>
      <c r="B300" s="3" t="s">
        <v>2398</v>
      </c>
      <c r="C300" s="4">
        <v>3</v>
      </c>
      <c r="D300" s="5">
        <v>119.97</v>
      </c>
      <c r="E300" s="4" t="s">
        <v>2399</v>
      </c>
      <c r="F300" s="3" t="s">
        <v>5532</v>
      </c>
      <c r="G300" s="7" t="s">
        <v>5596</v>
      </c>
      <c r="H300" s="3" t="s">
        <v>6065</v>
      </c>
      <c r="I300" s="3" t="s">
        <v>6066</v>
      </c>
      <c r="J300" s="3" t="s">
        <v>5536</v>
      </c>
      <c r="K300" s="3" t="s">
        <v>5549</v>
      </c>
      <c r="L300" s="8" t="str">
        <f>HYPERLINK("http://slimages.macys.com/is/image/MCY/15360954 ")</f>
        <v xml:space="preserve">http://slimages.macys.com/is/image/MCY/15360954 </v>
      </c>
    </row>
    <row r="301" spans="1:12" x14ac:dyDescent="0.25">
      <c r="A301" s="6" t="s">
        <v>2400</v>
      </c>
      <c r="B301" s="3" t="s">
        <v>2398</v>
      </c>
      <c r="C301" s="4">
        <v>1</v>
      </c>
      <c r="D301" s="5">
        <v>39.99</v>
      </c>
      <c r="E301" s="4" t="s">
        <v>2399</v>
      </c>
      <c r="F301" s="3" t="s">
        <v>5532</v>
      </c>
      <c r="G301" s="7" t="s">
        <v>5598</v>
      </c>
      <c r="H301" s="3" t="s">
        <v>6065</v>
      </c>
      <c r="I301" s="3" t="s">
        <v>6066</v>
      </c>
      <c r="J301" s="3" t="s">
        <v>5536</v>
      </c>
      <c r="K301" s="3" t="s">
        <v>5549</v>
      </c>
      <c r="L301" s="8" t="str">
        <f>HYPERLINK("http://slimages.macys.com/is/image/MCY/15360954 ")</f>
        <v xml:space="preserve">http://slimages.macys.com/is/image/MCY/15360954 </v>
      </c>
    </row>
    <row r="302" spans="1:12" ht="24.75" x14ac:dyDescent="0.25">
      <c r="A302" s="6" t="s">
        <v>2401</v>
      </c>
      <c r="B302" s="3" t="s">
        <v>2402</v>
      </c>
      <c r="C302" s="4">
        <v>1</v>
      </c>
      <c r="D302" s="5">
        <v>32.99</v>
      </c>
      <c r="E302" s="4">
        <v>100002153</v>
      </c>
      <c r="F302" s="3" t="s">
        <v>6146</v>
      </c>
      <c r="G302" s="7" t="s">
        <v>6491</v>
      </c>
      <c r="H302" s="3" t="s">
        <v>6522</v>
      </c>
      <c r="I302" s="3" t="s">
        <v>6523</v>
      </c>
      <c r="J302" s="3" t="s">
        <v>5536</v>
      </c>
      <c r="K302" s="3" t="s">
        <v>5727</v>
      </c>
      <c r="L302" s="8" t="str">
        <f>HYPERLINK("http://slimages.macys.com/is/image/MCY/12231598 ")</f>
        <v xml:space="preserve">http://slimages.macys.com/is/image/MCY/12231598 </v>
      </c>
    </row>
    <row r="303" spans="1:12" x14ac:dyDescent="0.25">
      <c r="A303" s="6" t="s">
        <v>2403</v>
      </c>
      <c r="B303" s="3" t="s">
        <v>2404</v>
      </c>
      <c r="C303" s="4">
        <v>1</v>
      </c>
      <c r="D303" s="5">
        <v>39.99</v>
      </c>
      <c r="E303" s="4" t="s">
        <v>2405</v>
      </c>
      <c r="F303" s="3" t="s">
        <v>5783</v>
      </c>
      <c r="G303" s="7" t="s">
        <v>5533</v>
      </c>
      <c r="H303" s="3" t="s">
        <v>6065</v>
      </c>
      <c r="I303" s="3" t="s">
        <v>6066</v>
      </c>
      <c r="J303" s="3" t="s">
        <v>5536</v>
      </c>
      <c r="K303" s="3" t="s">
        <v>5549</v>
      </c>
      <c r="L303" s="8" t="str">
        <f>HYPERLINK("http://slimages.macys.com/is/image/MCY/15360896 ")</f>
        <v xml:space="preserve">http://slimages.macys.com/is/image/MCY/15360896 </v>
      </c>
    </row>
    <row r="304" spans="1:12" x14ac:dyDescent="0.25">
      <c r="A304" s="6" t="s">
        <v>2406</v>
      </c>
      <c r="B304" s="3" t="s">
        <v>2404</v>
      </c>
      <c r="C304" s="4">
        <v>3</v>
      </c>
      <c r="D304" s="5">
        <v>119.97</v>
      </c>
      <c r="E304" s="4" t="s">
        <v>2405</v>
      </c>
      <c r="F304" s="3" t="s">
        <v>5783</v>
      </c>
      <c r="G304" s="7" t="s">
        <v>5596</v>
      </c>
      <c r="H304" s="3" t="s">
        <v>6065</v>
      </c>
      <c r="I304" s="3" t="s">
        <v>6066</v>
      </c>
      <c r="J304" s="3" t="s">
        <v>5536</v>
      </c>
      <c r="K304" s="3" t="s">
        <v>5549</v>
      </c>
      <c r="L304" s="8" t="str">
        <f>HYPERLINK("http://slimages.macys.com/is/image/MCY/15360896 ")</f>
        <v xml:space="preserve">http://slimages.macys.com/is/image/MCY/15360896 </v>
      </c>
    </row>
    <row r="305" spans="1:12" ht="24.75" x14ac:dyDescent="0.25">
      <c r="A305" s="6" t="s">
        <v>2407</v>
      </c>
      <c r="B305" s="3" t="s">
        <v>2408</v>
      </c>
      <c r="C305" s="4">
        <v>1</v>
      </c>
      <c r="D305" s="5">
        <v>24.99</v>
      </c>
      <c r="E305" s="4" t="s">
        <v>2409</v>
      </c>
      <c r="F305" s="3" t="s">
        <v>5783</v>
      </c>
      <c r="G305" s="7" t="s">
        <v>6666</v>
      </c>
      <c r="H305" s="3" t="s">
        <v>5842</v>
      </c>
      <c r="I305" s="3" t="s">
        <v>6253</v>
      </c>
      <c r="J305" s="3" t="s">
        <v>5536</v>
      </c>
      <c r="K305" s="3" t="s">
        <v>5727</v>
      </c>
      <c r="L305" s="8" t="str">
        <f>HYPERLINK("http://slimages.macys.com/is/image/MCY/14384262 ")</f>
        <v xml:space="preserve">http://slimages.macys.com/is/image/MCY/14384262 </v>
      </c>
    </row>
    <row r="306" spans="1:12" x14ac:dyDescent="0.25">
      <c r="A306" s="6" t="s">
        <v>2410</v>
      </c>
      <c r="B306" s="3" t="s">
        <v>2411</v>
      </c>
      <c r="C306" s="4">
        <v>1</v>
      </c>
      <c r="D306" s="5">
        <v>39.99</v>
      </c>
      <c r="E306" s="4" t="s">
        <v>2412</v>
      </c>
      <c r="F306" s="3" t="s">
        <v>5532</v>
      </c>
      <c r="G306" s="7" t="s">
        <v>5596</v>
      </c>
      <c r="H306" s="3" t="s">
        <v>6065</v>
      </c>
      <c r="I306" s="3" t="s">
        <v>6066</v>
      </c>
      <c r="J306" s="3" t="s">
        <v>5536</v>
      </c>
      <c r="K306" s="3" t="s">
        <v>5549</v>
      </c>
      <c r="L306" s="8" t="str">
        <f>HYPERLINK("http://slimages.macys.com/is/image/MCY/15435257 ")</f>
        <v xml:space="preserve">http://slimages.macys.com/is/image/MCY/15435257 </v>
      </c>
    </row>
    <row r="307" spans="1:12" ht="24.75" x14ac:dyDescent="0.25">
      <c r="A307" s="6" t="s">
        <v>2413</v>
      </c>
      <c r="B307" s="3" t="s">
        <v>6489</v>
      </c>
      <c r="C307" s="4">
        <v>1</v>
      </c>
      <c r="D307" s="5">
        <v>40</v>
      </c>
      <c r="E307" s="4" t="s">
        <v>6490</v>
      </c>
      <c r="F307" s="3" t="s">
        <v>5887</v>
      </c>
      <c r="G307" s="7" t="s">
        <v>5852</v>
      </c>
      <c r="H307" s="3" t="s">
        <v>6492</v>
      </c>
      <c r="I307" s="3" t="s">
        <v>6493</v>
      </c>
      <c r="J307" s="3" t="s">
        <v>5536</v>
      </c>
      <c r="K307" s="3" t="s">
        <v>6494</v>
      </c>
      <c r="L307" s="8" t="str">
        <f>HYPERLINK("http://slimages.macys.com/is/image/MCY/15892725 ")</f>
        <v xml:space="preserve">http://slimages.macys.com/is/image/MCY/15892725 </v>
      </c>
    </row>
    <row r="308" spans="1:12" ht="24.75" x14ac:dyDescent="0.25">
      <c r="A308" s="6" t="s">
        <v>6495</v>
      </c>
      <c r="B308" s="3" t="s">
        <v>6489</v>
      </c>
      <c r="C308" s="4">
        <v>1</v>
      </c>
      <c r="D308" s="5">
        <v>40</v>
      </c>
      <c r="E308" s="4" t="s">
        <v>6490</v>
      </c>
      <c r="F308" s="3" t="s">
        <v>6496</v>
      </c>
      <c r="G308" s="7" t="s">
        <v>6491</v>
      </c>
      <c r="H308" s="3" t="s">
        <v>6492</v>
      </c>
      <c r="I308" s="3" t="s">
        <v>6493</v>
      </c>
      <c r="J308" s="3" t="s">
        <v>5536</v>
      </c>
      <c r="K308" s="3" t="s">
        <v>6494</v>
      </c>
      <c r="L308" s="8" t="str">
        <f>HYPERLINK("http://slimages.macys.com/is/image/MCY/15892725 ")</f>
        <v xml:space="preserve">http://slimages.macys.com/is/image/MCY/15892725 </v>
      </c>
    </row>
    <row r="309" spans="1:12" ht="24.75" x14ac:dyDescent="0.25">
      <c r="A309" s="6" t="s">
        <v>5043</v>
      </c>
      <c r="B309" s="3" t="s">
        <v>6498</v>
      </c>
      <c r="C309" s="4">
        <v>1</v>
      </c>
      <c r="D309" s="5">
        <v>40</v>
      </c>
      <c r="E309" s="4" t="s">
        <v>6499</v>
      </c>
      <c r="F309" s="3" t="s">
        <v>5556</v>
      </c>
      <c r="G309" s="7" t="s">
        <v>6491</v>
      </c>
      <c r="H309" s="3" t="s">
        <v>6492</v>
      </c>
      <c r="I309" s="3" t="s">
        <v>6493</v>
      </c>
      <c r="J309" s="3" t="s">
        <v>5536</v>
      </c>
      <c r="K309" s="3" t="s">
        <v>5587</v>
      </c>
      <c r="L309" s="8" t="str">
        <f>HYPERLINK("http://slimages.macys.com/is/image/MCY/13286775 ")</f>
        <v xml:space="preserve">http://slimages.macys.com/is/image/MCY/13286775 </v>
      </c>
    </row>
    <row r="310" spans="1:12" ht="24.75" x14ac:dyDescent="0.25">
      <c r="A310" s="6" t="s">
        <v>2414</v>
      </c>
      <c r="B310" s="3" t="s">
        <v>6489</v>
      </c>
      <c r="C310" s="4">
        <v>1</v>
      </c>
      <c r="D310" s="5">
        <v>40</v>
      </c>
      <c r="E310" s="4" t="s">
        <v>6490</v>
      </c>
      <c r="F310" s="3" t="s">
        <v>5566</v>
      </c>
      <c r="G310" s="7" t="s">
        <v>6500</v>
      </c>
      <c r="H310" s="3" t="s">
        <v>6492</v>
      </c>
      <c r="I310" s="3" t="s">
        <v>6493</v>
      </c>
      <c r="J310" s="3" t="s">
        <v>5536</v>
      </c>
      <c r="K310" s="3" t="s">
        <v>6494</v>
      </c>
      <c r="L310" s="8" t="str">
        <f>HYPERLINK("http://slimages.macys.com/is/image/MCY/15892725 ")</f>
        <v xml:space="preserve">http://slimages.macys.com/is/image/MCY/15892725 </v>
      </c>
    </row>
    <row r="311" spans="1:12" ht="24.75" x14ac:dyDescent="0.25">
      <c r="A311" s="6" t="s">
        <v>6497</v>
      </c>
      <c r="B311" s="3" t="s">
        <v>6498</v>
      </c>
      <c r="C311" s="4">
        <v>1</v>
      </c>
      <c r="D311" s="5">
        <v>40</v>
      </c>
      <c r="E311" s="4" t="s">
        <v>6499</v>
      </c>
      <c r="F311" s="3" t="s">
        <v>5556</v>
      </c>
      <c r="G311" s="7" t="s">
        <v>6500</v>
      </c>
      <c r="H311" s="3" t="s">
        <v>6492</v>
      </c>
      <c r="I311" s="3" t="s">
        <v>6493</v>
      </c>
      <c r="J311" s="3" t="s">
        <v>5536</v>
      </c>
      <c r="K311" s="3" t="s">
        <v>5587</v>
      </c>
      <c r="L311" s="8" t="str">
        <f>HYPERLINK("http://slimages.macys.com/is/image/MCY/13286775 ")</f>
        <v xml:space="preserve">http://slimages.macys.com/is/image/MCY/13286775 </v>
      </c>
    </row>
    <row r="312" spans="1:12" ht="24.75" x14ac:dyDescent="0.25">
      <c r="A312" s="6" t="s">
        <v>2415</v>
      </c>
      <c r="B312" s="3" t="s">
        <v>6489</v>
      </c>
      <c r="C312" s="4">
        <v>1</v>
      </c>
      <c r="D312" s="5">
        <v>40</v>
      </c>
      <c r="E312" s="4" t="s">
        <v>6490</v>
      </c>
      <c r="F312" s="3" t="s">
        <v>5566</v>
      </c>
      <c r="G312" s="7" t="s">
        <v>6491</v>
      </c>
      <c r="H312" s="3" t="s">
        <v>6492</v>
      </c>
      <c r="I312" s="3" t="s">
        <v>6493</v>
      </c>
      <c r="J312" s="3" t="s">
        <v>5536</v>
      </c>
      <c r="K312" s="3" t="s">
        <v>6494</v>
      </c>
      <c r="L312" s="8" t="str">
        <f t="shared" ref="L312:L321" si="2">HYPERLINK("http://slimages.macys.com/is/image/MCY/15892725 ")</f>
        <v xml:space="preserve">http://slimages.macys.com/is/image/MCY/15892725 </v>
      </c>
    </row>
    <row r="313" spans="1:12" ht="24.75" x14ac:dyDescent="0.25">
      <c r="A313" s="6" t="s">
        <v>2416</v>
      </c>
      <c r="B313" s="3" t="s">
        <v>6489</v>
      </c>
      <c r="C313" s="4">
        <v>1</v>
      </c>
      <c r="D313" s="5">
        <v>40</v>
      </c>
      <c r="E313" s="4" t="s">
        <v>6490</v>
      </c>
      <c r="F313" s="3" t="s">
        <v>6496</v>
      </c>
      <c r="G313" s="7" t="s">
        <v>5799</v>
      </c>
      <c r="H313" s="3" t="s">
        <v>6492</v>
      </c>
      <c r="I313" s="3" t="s">
        <v>6493</v>
      </c>
      <c r="J313" s="3" t="s">
        <v>5536</v>
      </c>
      <c r="K313" s="3" t="s">
        <v>6494</v>
      </c>
      <c r="L313" s="8" t="str">
        <f t="shared" si="2"/>
        <v xml:space="preserve">http://slimages.macys.com/is/image/MCY/15892725 </v>
      </c>
    </row>
    <row r="314" spans="1:12" ht="24.75" x14ac:dyDescent="0.25">
      <c r="A314" s="6" t="s">
        <v>2417</v>
      </c>
      <c r="B314" s="3" t="s">
        <v>6489</v>
      </c>
      <c r="C314" s="4">
        <v>1</v>
      </c>
      <c r="D314" s="5">
        <v>40</v>
      </c>
      <c r="E314" s="4" t="s">
        <v>6490</v>
      </c>
      <c r="F314" s="3" t="s">
        <v>5887</v>
      </c>
      <c r="G314" s="7" t="s">
        <v>5799</v>
      </c>
      <c r="H314" s="3" t="s">
        <v>6492</v>
      </c>
      <c r="I314" s="3" t="s">
        <v>6493</v>
      </c>
      <c r="J314" s="3" t="s">
        <v>5536</v>
      </c>
      <c r="K314" s="3" t="s">
        <v>6494</v>
      </c>
      <c r="L314" s="8" t="str">
        <f t="shared" si="2"/>
        <v xml:space="preserve">http://slimages.macys.com/is/image/MCY/15892725 </v>
      </c>
    </row>
    <row r="315" spans="1:12" ht="24.75" x14ac:dyDescent="0.25">
      <c r="A315" s="6" t="s">
        <v>2418</v>
      </c>
      <c r="B315" s="3" t="s">
        <v>6489</v>
      </c>
      <c r="C315" s="4">
        <v>2</v>
      </c>
      <c r="D315" s="5">
        <v>80</v>
      </c>
      <c r="E315" s="4" t="s">
        <v>6490</v>
      </c>
      <c r="F315" s="3" t="s">
        <v>6496</v>
      </c>
      <c r="G315" s="7" t="s">
        <v>5852</v>
      </c>
      <c r="H315" s="3" t="s">
        <v>6492</v>
      </c>
      <c r="I315" s="3" t="s">
        <v>6493</v>
      </c>
      <c r="J315" s="3" t="s">
        <v>5536</v>
      </c>
      <c r="K315" s="3" t="s">
        <v>6494</v>
      </c>
      <c r="L315" s="8" t="str">
        <f t="shared" si="2"/>
        <v xml:space="preserve">http://slimages.macys.com/is/image/MCY/15892725 </v>
      </c>
    </row>
    <row r="316" spans="1:12" ht="24.75" x14ac:dyDescent="0.25">
      <c r="A316" s="6" t="s">
        <v>5044</v>
      </c>
      <c r="B316" s="3" t="s">
        <v>6489</v>
      </c>
      <c r="C316" s="4">
        <v>1</v>
      </c>
      <c r="D316" s="5">
        <v>40</v>
      </c>
      <c r="E316" s="4" t="s">
        <v>6490</v>
      </c>
      <c r="F316" s="3" t="s">
        <v>5566</v>
      </c>
      <c r="G316" s="7" t="s">
        <v>4260</v>
      </c>
      <c r="H316" s="3" t="s">
        <v>6492</v>
      </c>
      <c r="I316" s="3" t="s">
        <v>6493</v>
      </c>
      <c r="J316" s="3" t="s">
        <v>5536</v>
      </c>
      <c r="K316" s="3" t="s">
        <v>6494</v>
      </c>
      <c r="L316" s="8" t="str">
        <f t="shared" si="2"/>
        <v xml:space="preserve">http://slimages.macys.com/is/image/MCY/15892725 </v>
      </c>
    </row>
    <row r="317" spans="1:12" ht="24.75" x14ac:dyDescent="0.25">
      <c r="A317" s="6" t="s">
        <v>4258</v>
      </c>
      <c r="B317" s="3" t="s">
        <v>6489</v>
      </c>
      <c r="C317" s="4">
        <v>1</v>
      </c>
      <c r="D317" s="5">
        <v>40</v>
      </c>
      <c r="E317" s="4" t="s">
        <v>6490</v>
      </c>
      <c r="F317" s="3" t="s">
        <v>5566</v>
      </c>
      <c r="G317" s="7" t="s">
        <v>5852</v>
      </c>
      <c r="H317" s="3" t="s">
        <v>6492</v>
      </c>
      <c r="I317" s="3" t="s">
        <v>6493</v>
      </c>
      <c r="J317" s="3" t="s">
        <v>5536</v>
      </c>
      <c r="K317" s="3" t="s">
        <v>6494</v>
      </c>
      <c r="L317" s="8" t="str">
        <f t="shared" si="2"/>
        <v xml:space="preserve">http://slimages.macys.com/is/image/MCY/15892725 </v>
      </c>
    </row>
    <row r="318" spans="1:12" ht="24.75" x14ac:dyDescent="0.25">
      <c r="A318" s="6" t="s">
        <v>2419</v>
      </c>
      <c r="B318" s="3" t="s">
        <v>6489</v>
      </c>
      <c r="C318" s="4">
        <v>1</v>
      </c>
      <c r="D318" s="5">
        <v>40</v>
      </c>
      <c r="E318" s="4" t="s">
        <v>6490</v>
      </c>
      <c r="F318" s="3" t="s">
        <v>5887</v>
      </c>
      <c r="G318" s="7" t="s">
        <v>6491</v>
      </c>
      <c r="H318" s="3" t="s">
        <v>6492</v>
      </c>
      <c r="I318" s="3" t="s">
        <v>6493</v>
      </c>
      <c r="J318" s="3" t="s">
        <v>5536</v>
      </c>
      <c r="K318" s="3" t="s">
        <v>6494</v>
      </c>
      <c r="L318" s="8" t="str">
        <f t="shared" si="2"/>
        <v xml:space="preserve">http://slimages.macys.com/is/image/MCY/15892725 </v>
      </c>
    </row>
    <row r="319" spans="1:12" ht="24.75" x14ac:dyDescent="0.25">
      <c r="A319" s="6" t="s">
        <v>2420</v>
      </c>
      <c r="B319" s="3" t="s">
        <v>6489</v>
      </c>
      <c r="C319" s="4">
        <v>1</v>
      </c>
      <c r="D319" s="5">
        <v>40</v>
      </c>
      <c r="E319" s="4" t="s">
        <v>6490</v>
      </c>
      <c r="F319" s="3" t="s">
        <v>5540</v>
      </c>
      <c r="G319" s="7" t="s">
        <v>5799</v>
      </c>
      <c r="H319" s="3" t="s">
        <v>6492</v>
      </c>
      <c r="I319" s="3" t="s">
        <v>6493</v>
      </c>
      <c r="J319" s="3" t="s">
        <v>5536</v>
      </c>
      <c r="K319" s="3" t="s">
        <v>6494</v>
      </c>
      <c r="L319" s="8" t="str">
        <f t="shared" si="2"/>
        <v xml:space="preserve">http://slimages.macys.com/is/image/MCY/15892725 </v>
      </c>
    </row>
    <row r="320" spans="1:12" ht="24.75" x14ac:dyDescent="0.25">
      <c r="A320" s="6" t="s">
        <v>2421</v>
      </c>
      <c r="B320" s="3" t="s">
        <v>6489</v>
      </c>
      <c r="C320" s="4">
        <v>1</v>
      </c>
      <c r="D320" s="5">
        <v>40</v>
      </c>
      <c r="E320" s="4" t="s">
        <v>6490</v>
      </c>
      <c r="F320" s="3" t="s">
        <v>5540</v>
      </c>
      <c r="G320" s="7" t="s">
        <v>5852</v>
      </c>
      <c r="H320" s="3" t="s">
        <v>6492</v>
      </c>
      <c r="I320" s="3" t="s">
        <v>6493</v>
      </c>
      <c r="J320" s="3" t="s">
        <v>5536</v>
      </c>
      <c r="K320" s="3" t="s">
        <v>6494</v>
      </c>
      <c r="L320" s="8" t="str">
        <f t="shared" si="2"/>
        <v xml:space="preserve">http://slimages.macys.com/is/image/MCY/15892725 </v>
      </c>
    </row>
    <row r="321" spans="1:12" ht="24.75" x14ac:dyDescent="0.25">
      <c r="A321" s="6" t="s">
        <v>2422</v>
      </c>
      <c r="B321" s="3" t="s">
        <v>6489</v>
      </c>
      <c r="C321" s="4">
        <v>2</v>
      </c>
      <c r="D321" s="5">
        <v>80</v>
      </c>
      <c r="E321" s="4" t="s">
        <v>6490</v>
      </c>
      <c r="F321" s="3" t="s">
        <v>6496</v>
      </c>
      <c r="G321" s="7" t="s">
        <v>4260</v>
      </c>
      <c r="H321" s="3" t="s">
        <v>6492</v>
      </c>
      <c r="I321" s="3" t="s">
        <v>6493</v>
      </c>
      <c r="J321" s="3" t="s">
        <v>5536</v>
      </c>
      <c r="K321" s="3" t="s">
        <v>6494</v>
      </c>
      <c r="L321" s="8" t="str">
        <f t="shared" si="2"/>
        <v xml:space="preserve">http://slimages.macys.com/is/image/MCY/15892725 </v>
      </c>
    </row>
    <row r="322" spans="1:12" x14ac:dyDescent="0.25">
      <c r="A322" s="6" t="s">
        <v>2423</v>
      </c>
      <c r="B322" s="3" t="s">
        <v>2424</v>
      </c>
      <c r="C322" s="4">
        <v>1</v>
      </c>
      <c r="D322" s="5">
        <v>34.99</v>
      </c>
      <c r="E322" s="4" t="s">
        <v>2425</v>
      </c>
      <c r="F322" s="3" t="s">
        <v>6075</v>
      </c>
      <c r="G322" s="7" t="s">
        <v>4491</v>
      </c>
      <c r="H322" s="3" t="s">
        <v>6065</v>
      </c>
      <c r="I322" s="3" t="s">
        <v>6066</v>
      </c>
      <c r="J322" s="3" t="s">
        <v>5536</v>
      </c>
      <c r="K322" s="3" t="s">
        <v>5587</v>
      </c>
      <c r="L322" s="8" t="str">
        <f>HYPERLINK("http://slimages.macys.com/is/image/MCY/11519584 ")</f>
        <v xml:space="preserve">http://slimages.macys.com/is/image/MCY/11519584 </v>
      </c>
    </row>
    <row r="323" spans="1:12" x14ac:dyDescent="0.25">
      <c r="A323" s="6" t="s">
        <v>2426</v>
      </c>
      <c r="B323" s="3" t="s">
        <v>2424</v>
      </c>
      <c r="C323" s="4">
        <v>1</v>
      </c>
      <c r="D323" s="5">
        <v>34.99</v>
      </c>
      <c r="E323" s="4" t="s">
        <v>2425</v>
      </c>
      <c r="F323" s="3" t="s">
        <v>5977</v>
      </c>
      <c r="G323" s="7" t="s">
        <v>6491</v>
      </c>
      <c r="H323" s="3" t="s">
        <v>6065</v>
      </c>
      <c r="I323" s="3" t="s">
        <v>6066</v>
      </c>
      <c r="J323" s="3" t="s">
        <v>5536</v>
      </c>
      <c r="K323" s="3" t="s">
        <v>5587</v>
      </c>
      <c r="L323" s="8" t="str">
        <f>HYPERLINK("http://slimages.macys.com/is/image/MCY/11519584 ")</f>
        <v xml:space="preserve">http://slimages.macys.com/is/image/MCY/11519584 </v>
      </c>
    </row>
    <row r="324" spans="1:12" x14ac:dyDescent="0.25">
      <c r="A324" s="6" t="s">
        <v>2427</v>
      </c>
      <c r="B324" s="3" t="s">
        <v>2424</v>
      </c>
      <c r="C324" s="4">
        <v>1</v>
      </c>
      <c r="D324" s="5">
        <v>34.99</v>
      </c>
      <c r="E324" s="4" t="s">
        <v>2425</v>
      </c>
      <c r="F324" s="3" t="s">
        <v>6983</v>
      </c>
      <c r="G324" s="7" t="s">
        <v>4491</v>
      </c>
      <c r="H324" s="3" t="s">
        <v>6065</v>
      </c>
      <c r="I324" s="3" t="s">
        <v>6066</v>
      </c>
      <c r="J324" s="3" t="s">
        <v>5536</v>
      </c>
      <c r="K324" s="3" t="s">
        <v>5587</v>
      </c>
      <c r="L324" s="8" t="str">
        <f>HYPERLINK("http://slimages.macys.com/is/image/MCY/11519584 ")</f>
        <v xml:space="preserve">http://slimages.macys.com/is/image/MCY/11519584 </v>
      </c>
    </row>
    <row r="325" spans="1:12" ht="24.75" x14ac:dyDescent="0.25">
      <c r="A325" s="6" t="s">
        <v>6512</v>
      </c>
      <c r="B325" s="3" t="s">
        <v>6513</v>
      </c>
      <c r="C325" s="4">
        <v>15</v>
      </c>
      <c r="D325" s="5">
        <v>300</v>
      </c>
      <c r="E325" s="4" t="s">
        <v>6514</v>
      </c>
      <c r="F325" s="3" t="s">
        <v>5532</v>
      </c>
      <c r="G325" s="7" t="s">
        <v>5898</v>
      </c>
      <c r="H325" s="3" t="s">
        <v>6515</v>
      </c>
      <c r="I325" s="3" t="s">
        <v>6004</v>
      </c>
      <c r="J325" s="3" t="s">
        <v>5536</v>
      </c>
      <c r="K325" s="3" t="s">
        <v>5984</v>
      </c>
      <c r="L325" s="8" t="str">
        <f>HYPERLINK("http://slimages.macys.com/is/image/MCY/14573859 ")</f>
        <v xml:space="preserve">http://slimages.macys.com/is/image/MCY/14573859 </v>
      </c>
    </row>
    <row r="326" spans="1:12" x14ac:dyDescent="0.25">
      <c r="A326" s="6" t="s">
        <v>2428</v>
      </c>
      <c r="B326" s="3" t="s">
        <v>2429</v>
      </c>
      <c r="C326" s="4">
        <v>1</v>
      </c>
      <c r="D326" s="5">
        <v>29.99</v>
      </c>
      <c r="E326" s="4" t="s">
        <v>2430</v>
      </c>
      <c r="F326" s="3" t="s">
        <v>5540</v>
      </c>
      <c r="G326" s="7" t="s">
        <v>5533</v>
      </c>
      <c r="H326" s="3" t="s">
        <v>6065</v>
      </c>
      <c r="I326" s="3" t="s">
        <v>6066</v>
      </c>
      <c r="J326" s="3" t="s">
        <v>5536</v>
      </c>
      <c r="K326" s="3" t="s">
        <v>5574</v>
      </c>
      <c r="L326" s="8" t="str">
        <f>HYPERLINK("http://slimages.macys.com/is/image/MCY/10480277 ")</f>
        <v xml:space="preserve">http://slimages.macys.com/is/image/MCY/10480277 </v>
      </c>
    </row>
    <row r="327" spans="1:12" ht="24.75" x14ac:dyDescent="0.25">
      <c r="A327" s="6" t="s">
        <v>2431</v>
      </c>
      <c r="B327" s="3" t="s">
        <v>4291</v>
      </c>
      <c r="C327" s="4">
        <v>1</v>
      </c>
      <c r="D327" s="5">
        <v>25</v>
      </c>
      <c r="E327" s="4">
        <v>54404</v>
      </c>
      <c r="F327" s="3" t="s">
        <v>5625</v>
      </c>
      <c r="G327" s="7" t="s">
        <v>5596</v>
      </c>
      <c r="H327" s="3" t="s">
        <v>5794</v>
      </c>
      <c r="I327" s="3" t="s">
        <v>4084</v>
      </c>
      <c r="J327" s="3" t="s">
        <v>5536</v>
      </c>
      <c r="K327" s="3" t="s">
        <v>5594</v>
      </c>
      <c r="L327" s="8" t="str">
        <f>HYPERLINK("http://slimages.macys.com/is/image/MCY/10077202 ")</f>
        <v xml:space="preserve">http://slimages.macys.com/is/image/MCY/10077202 </v>
      </c>
    </row>
    <row r="328" spans="1:12" x14ac:dyDescent="0.25">
      <c r="A328" s="6" t="s">
        <v>2432</v>
      </c>
      <c r="B328" s="3" t="s">
        <v>2433</v>
      </c>
      <c r="C328" s="4">
        <v>1</v>
      </c>
      <c r="D328" s="5">
        <v>34.99</v>
      </c>
      <c r="E328" s="4" t="s">
        <v>2434</v>
      </c>
      <c r="F328" s="3" t="s">
        <v>5578</v>
      </c>
      <c r="G328" s="7" t="s">
        <v>5596</v>
      </c>
      <c r="H328" s="3" t="s">
        <v>6003</v>
      </c>
      <c r="I328" s="3" t="s">
        <v>6004</v>
      </c>
      <c r="J328" s="3" t="s">
        <v>5536</v>
      </c>
      <c r="K328" s="3" t="s">
        <v>4035</v>
      </c>
      <c r="L328" s="8" t="str">
        <f>HYPERLINK("http://slimages.macys.com/is/image/MCY/15508202 ")</f>
        <v xml:space="preserve">http://slimages.macys.com/is/image/MCY/15508202 </v>
      </c>
    </row>
    <row r="329" spans="1:12" ht="24.75" x14ac:dyDescent="0.25">
      <c r="A329" s="6" t="s">
        <v>5053</v>
      </c>
      <c r="B329" s="3" t="s">
        <v>6273</v>
      </c>
      <c r="C329" s="4">
        <v>1</v>
      </c>
      <c r="D329" s="5">
        <v>25</v>
      </c>
      <c r="E329" s="4" t="s">
        <v>6274</v>
      </c>
      <c r="F329" s="3" t="s">
        <v>5604</v>
      </c>
      <c r="G329" s="7"/>
      <c r="H329" s="3" t="s">
        <v>5825</v>
      </c>
      <c r="I329" s="3" t="s">
        <v>6265</v>
      </c>
      <c r="J329" s="3" t="s">
        <v>5536</v>
      </c>
      <c r="K329" s="3" t="s">
        <v>6266</v>
      </c>
      <c r="L329" s="8" t="str">
        <f>HYPERLINK("http://slimages.macys.com/is/image/MCY/11544590 ")</f>
        <v xml:space="preserve">http://slimages.macys.com/is/image/MCY/11544590 </v>
      </c>
    </row>
    <row r="330" spans="1:12" ht="24.75" x14ac:dyDescent="0.25">
      <c r="A330" s="6" t="s">
        <v>5055</v>
      </c>
      <c r="B330" s="3" t="s">
        <v>6273</v>
      </c>
      <c r="C330" s="4">
        <v>1</v>
      </c>
      <c r="D330" s="5">
        <v>25</v>
      </c>
      <c r="E330" s="4" t="s">
        <v>6274</v>
      </c>
      <c r="F330" s="3" t="s">
        <v>5604</v>
      </c>
      <c r="G330" s="7"/>
      <c r="H330" s="3" t="s">
        <v>5825</v>
      </c>
      <c r="I330" s="3" t="s">
        <v>6265</v>
      </c>
      <c r="J330" s="3" t="s">
        <v>5536</v>
      </c>
      <c r="K330" s="3" t="s">
        <v>6266</v>
      </c>
      <c r="L330" s="8" t="str">
        <f>HYPERLINK("http://slimages.macys.com/is/image/MCY/11544590 ")</f>
        <v xml:space="preserve">http://slimages.macys.com/is/image/MCY/11544590 </v>
      </c>
    </row>
    <row r="331" spans="1:12" ht="24.75" x14ac:dyDescent="0.25">
      <c r="A331" s="6" t="s">
        <v>2435</v>
      </c>
      <c r="B331" s="3" t="s">
        <v>6554</v>
      </c>
      <c r="C331" s="4">
        <v>1</v>
      </c>
      <c r="D331" s="5">
        <v>23</v>
      </c>
      <c r="E331" s="4" t="s">
        <v>6555</v>
      </c>
      <c r="F331" s="3" t="s">
        <v>5661</v>
      </c>
      <c r="G331" s="7" t="s">
        <v>5830</v>
      </c>
      <c r="H331" s="3" t="s">
        <v>5825</v>
      </c>
      <c r="I331" s="3" t="s">
        <v>5826</v>
      </c>
      <c r="J331" s="3" t="s">
        <v>5536</v>
      </c>
      <c r="K331" s="3" t="s">
        <v>5553</v>
      </c>
      <c r="L331" s="8" t="str">
        <f>HYPERLINK("http://slimages.macys.com/is/image/MCY/9748928 ")</f>
        <v xml:space="preserve">http://slimages.macys.com/is/image/MCY/9748928 </v>
      </c>
    </row>
    <row r="332" spans="1:12" ht="24.75" x14ac:dyDescent="0.25">
      <c r="A332" s="6" t="s">
        <v>5066</v>
      </c>
      <c r="B332" s="3" t="s">
        <v>5067</v>
      </c>
      <c r="C332" s="4">
        <v>2</v>
      </c>
      <c r="D332" s="5">
        <v>46</v>
      </c>
      <c r="E332" s="4">
        <v>100019475</v>
      </c>
      <c r="F332" s="3" t="s">
        <v>5532</v>
      </c>
      <c r="G332" s="7" t="s">
        <v>6025</v>
      </c>
      <c r="H332" s="3" t="s">
        <v>5825</v>
      </c>
      <c r="I332" s="3" t="s">
        <v>5826</v>
      </c>
      <c r="J332" s="3" t="s">
        <v>5536</v>
      </c>
      <c r="K332" s="3" t="s">
        <v>5594</v>
      </c>
      <c r="L332" s="8" t="str">
        <f>HYPERLINK("http://slimages.macys.com/is/image/MCY/9512821 ")</f>
        <v xml:space="preserve">http://slimages.macys.com/is/image/MCY/9512821 </v>
      </c>
    </row>
    <row r="333" spans="1:12" ht="24.75" x14ac:dyDescent="0.25">
      <c r="A333" s="6" t="s">
        <v>2436</v>
      </c>
      <c r="B333" s="3" t="s">
        <v>2437</v>
      </c>
      <c r="C333" s="4">
        <v>1</v>
      </c>
      <c r="D333" s="5">
        <v>34.99</v>
      </c>
      <c r="E333" s="4">
        <v>12157</v>
      </c>
      <c r="F333" s="3" t="s">
        <v>5815</v>
      </c>
      <c r="G333" s="7" t="s">
        <v>5560</v>
      </c>
      <c r="H333" s="3" t="s">
        <v>6065</v>
      </c>
      <c r="I333" s="3" t="s">
        <v>6066</v>
      </c>
      <c r="J333" s="3" t="s">
        <v>5536</v>
      </c>
      <c r="K333" s="3" t="s">
        <v>5574</v>
      </c>
      <c r="L333" s="8" t="str">
        <f>HYPERLINK("http://slimages.macys.com/is/image/MCY/9567204 ")</f>
        <v xml:space="preserve">http://slimages.macys.com/is/image/MCY/9567204 </v>
      </c>
    </row>
    <row r="334" spans="1:12" x14ac:dyDescent="0.25">
      <c r="A334" s="6" t="s">
        <v>2438</v>
      </c>
      <c r="B334" s="3" t="s">
        <v>6561</v>
      </c>
      <c r="C334" s="4">
        <v>1</v>
      </c>
      <c r="D334" s="5">
        <v>17.989999999999998</v>
      </c>
      <c r="E334" s="4" t="s">
        <v>6562</v>
      </c>
      <c r="F334" s="3" t="s">
        <v>5540</v>
      </c>
      <c r="G334" s="7" t="s">
        <v>5533</v>
      </c>
      <c r="H334" s="3" t="s">
        <v>5606</v>
      </c>
      <c r="I334" s="3" t="s">
        <v>5914</v>
      </c>
      <c r="J334" s="3" t="s">
        <v>5536</v>
      </c>
      <c r="K334" s="3" t="s">
        <v>5549</v>
      </c>
      <c r="L334" s="8" t="str">
        <f>HYPERLINK("http://slimages.macys.com/is/image/MCY/14907434 ")</f>
        <v xml:space="preserve">http://slimages.macys.com/is/image/MCY/14907434 </v>
      </c>
    </row>
    <row r="335" spans="1:12" ht="24.75" x14ac:dyDescent="0.25">
      <c r="A335" s="6" t="s">
        <v>2439</v>
      </c>
      <c r="B335" s="3" t="s">
        <v>2440</v>
      </c>
      <c r="C335" s="4">
        <v>1</v>
      </c>
      <c r="D335" s="5">
        <v>23</v>
      </c>
      <c r="E335" s="4" t="s">
        <v>2441</v>
      </c>
      <c r="F335" s="3" t="s">
        <v>5783</v>
      </c>
      <c r="G335" s="7" t="s">
        <v>6476</v>
      </c>
      <c r="H335" s="3" t="s">
        <v>5825</v>
      </c>
      <c r="I335" s="3" t="s">
        <v>5826</v>
      </c>
      <c r="J335" s="3" t="s">
        <v>5536</v>
      </c>
      <c r="K335" s="3" t="s">
        <v>5594</v>
      </c>
      <c r="L335" s="8" t="str">
        <f>HYPERLINK("http://slimages.macys.com/is/image/MCY/9267353 ")</f>
        <v xml:space="preserve">http://slimages.macys.com/is/image/MCY/9267353 </v>
      </c>
    </row>
    <row r="336" spans="1:12" ht="24.75" x14ac:dyDescent="0.25">
      <c r="A336" s="6" t="s">
        <v>2442</v>
      </c>
      <c r="B336" s="3" t="s">
        <v>6568</v>
      </c>
      <c r="C336" s="4">
        <v>1</v>
      </c>
      <c r="D336" s="5">
        <v>23</v>
      </c>
      <c r="E336" s="4">
        <v>100019472</v>
      </c>
      <c r="F336" s="3" t="s">
        <v>5783</v>
      </c>
      <c r="G336" s="7" t="s">
        <v>5777</v>
      </c>
      <c r="H336" s="3" t="s">
        <v>5825</v>
      </c>
      <c r="I336" s="3" t="s">
        <v>5826</v>
      </c>
      <c r="J336" s="3" t="s">
        <v>5536</v>
      </c>
      <c r="K336" s="3" t="s">
        <v>5594</v>
      </c>
      <c r="L336" s="8" t="str">
        <f>HYPERLINK("http://slimages.macys.com/is/image/MCY/9470798 ")</f>
        <v xml:space="preserve">http://slimages.macys.com/is/image/MCY/9470798 </v>
      </c>
    </row>
    <row r="337" spans="1:12" ht="24.75" x14ac:dyDescent="0.25">
      <c r="A337" s="6" t="s">
        <v>2443</v>
      </c>
      <c r="B337" s="3" t="s">
        <v>2444</v>
      </c>
      <c r="C337" s="4">
        <v>1</v>
      </c>
      <c r="D337" s="5">
        <v>35</v>
      </c>
      <c r="E337" s="4">
        <v>10007368400</v>
      </c>
      <c r="F337" s="3" t="s">
        <v>5820</v>
      </c>
      <c r="G337" s="7" t="s">
        <v>5596</v>
      </c>
      <c r="H337" s="3" t="s">
        <v>3941</v>
      </c>
      <c r="I337" s="3" t="s">
        <v>3942</v>
      </c>
      <c r="J337" s="3" t="s">
        <v>5536</v>
      </c>
      <c r="K337" s="3" t="s">
        <v>5574</v>
      </c>
      <c r="L337" s="8" t="str">
        <f>HYPERLINK("http://slimages.macys.com/is/image/MCY/15434891 ")</f>
        <v xml:space="preserve">http://slimages.macys.com/is/image/MCY/15434891 </v>
      </c>
    </row>
    <row r="338" spans="1:12" ht="24.75" x14ac:dyDescent="0.25">
      <c r="A338" s="6" t="s">
        <v>2445</v>
      </c>
      <c r="B338" s="3" t="s">
        <v>2444</v>
      </c>
      <c r="C338" s="4">
        <v>1</v>
      </c>
      <c r="D338" s="5">
        <v>35</v>
      </c>
      <c r="E338" s="4">
        <v>10007368400</v>
      </c>
      <c r="F338" s="3" t="s">
        <v>5977</v>
      </c>
      <c r="G338" s="7" t="s">
        <v>5533</v>
      </c>
      <c r="H338" s="3" t="s">
        <v>3941</v>
      </c>
      <c r="I338" s="3" t="s">
        <v>3942</v>
      </c>
      <c r="J338" s="3" t="s">
        <v>5536</v>
      </c>
      <c r="K338" s="3" t="s">
        <v>5574</v>
      </c>
      <c r="L338" s="8" t="str">
        <f>HYPERLINK("http://slimages.macys.com/is/image/MCY/15434891 ")</f>
        <v xml:space="preserve">http://slimages.macys.com/is/image/MCY/15434891 </v>
      </c>
    </row>
    <row r="339" spans="1:12" ht="24.75" x14ac:dyDescent="0.25">
      <c r="A339" s="6" t="s">
        <v>6577</v>
      </c>
      <c r="B339" s="3" t="s">
        <v>6575</v>
      </c>
      <c r="C339" s="4">
        <v>1</v>
      </c>
      <c r="D339" s="5">
        <v>23</v>
      </c>
      <c r="E339" s="4" t="s">
        <v>6576</v>
      </c>
      <c r="F339" s="3" t="s">
        <v>5532</v>
      </c>
      <c r="G339" s="7" t="s">
        <v>5779</v>
      </c>
      <c r="H339" s="3" t="s">
        <v>5825</v>
      </c>
      <c r="I339" s="3" t="s">
        <v>5826</v>
      </c>
      <c r="J339" s="3" t="s">
        <v>5536</v>
      </c>
      <c r="K339" s="3" t="s">
        <v>5549</v>
      </c>
      <c r="L339" s="8" t="str">
        <f>HYPERLINK("http://slimages.macys.com/is/image/MCY/14532354 ")</f>
        <v xml:space="preserve">http://slimages.macys.com/is/image/MCY/14532354 </v>
      </c>
    </row>
    <row r="340" spans="1:12" ht="24.75" x14ac:dyDescent="0.25">
      <c r="A340" s="6" t="s">
        <v>6585</v>
      </c>
      <c r="B340" s="3" t="s">
        <v>6583</v>
      </c>
      <c r="C340" s="4">
        <v>1</v>
      </c>
      <c r="D340" s="5">
        <v>23</v>
      </c>
      <c r="E340" s="4">
        <v>100019474</v>
      </c>
      <c r="F340" s="3" t="s">
        <v>5532</v>
      </c>
      <c r="G340" s="7" t="s">
        <v>5835</v>
      </c>
      <c r="H340" s="3" t="s">
        <v>5825</v>
      </c>
      <c r="I340" s="3" t="s">
        <v>5826</v>
      </c>
      <c r="J340" s="3" t="s">
        <v>5536</v>
      </c>
      <c r="K340" s="3" t="s">
        <v>5594</v>
      </c>
      <c r="L340" s="8" t="str">
        <f>HYPERLINK("http://slimages.macys.com/is/image/MCY/9758508 ")</f>
        <v xml:space="preserve">http://slimages.macys.com/is/image/MCY/9758508 </v>
      </c>
    </row>
    <row r="341" spans="1:12" ht="24.75" x14ac:dyDescent="0.25">
      <c r="A341" s="6" t="s">
        <v>5079</v>
      </c>
      <c r="B341" s="3" t="s">
        <v>6583</v>
      </c>
      <c r="C341" s="4">
        <v>3</v>
      </c>
      <c r="D341" s="5">
        <v>69</v>
      </c>
      <c r="E341" s="4">
        <v>100019474</v>
      </c>
      <c r="F341" s="3" t="s">
        <v>5532</v>
      </c>
      <c r="G341" s="7" t="s">
        <v>5760</v>
      </c>
      <c r="H341" s="3" t="s">
        <v>5825</v>
      </c>
      <c r="I341" s="3" t="s">
        <v>5826</v>
      </c>
      <c r="J341" s="3" t="s">
        <v>5536</v>
      </c>
      <c r="K341" s="3" t="s">
        <v>5594</v>
      </c>
      <c r="L341" s="8" t="str">
        <f>HYPERLINK("http://slimages.macys.com/is/image/MCY/9758508 ")</f>
        <v xml:space="preserve">http://slimages.macys.com/is/image/MCY/9758508 </v>
      </c>
    </row>
    <row r="342" spans="1:12" ht="24.75" x14ac:dyDescent="0.25">
      <c r="A342" s="6" t="s">
        <v>6584</v>
      </c>
      <c r="B342" s="3" t="s">
        <v>6583</v>
      </c>
      <c r="C342" s="4">
        <v>3</v>
      </c>
      <c r="D342" s="5">
        <v>69</v>
      </c>
      <c r="E342" s="4">
        <v>100019474</v>
      </c>
      <c r="F342" s="3" t="s">
        <v>5532</v>
      </c>
      <c r="G342" s="7" t="s">
        <v>6025</v>
      </c>
      <c r="H342" s="3" t="s">
        <v>5825</v>
      </c>
      <c r="I342" s="3" t="s">
        <v>5826</v>
      </c>
      <c r="J342" s="3" t="s">
        <v>5536</v>
      </c>
      <c r="K342" s="3" t="s">
        <v>5594</v>
      </c>
      <c r="L342" s="8" t="str">
        <f>HYPERLINK("http://slimages.macys.com/is/image/MCY/9758508 ")</f>
        <v xml:space="preserve">http://slimages.macys.com/is/image/MCY/9758508 </v>
      </c>
    </row>
    <row r="343" spans="1:12" ht="24.75" x14ac:dyDescent="0.25">
      <c r="A343" s="6" t="s">
        <v>6596</v>
      </c>
      <c r="B343" s="3" t="s">
        <v>6583</v>
      </c>
      <c r="C343" s="4">
        <v>1</v>
      </c>
      <c r="D343" s="5">
        <v>23</v>
      </c>
      <c r="E343" s="4">
        <v>100019474</v>
      </c>
      <c r="F343" s="3" t="s">
        <v>5532</v>
      </c>
      <c r="G343" s="7" t="s">
        <v>6476</v>
      </c>
      <c r="H343" s="3" t="s">
        <v>5825</v>
      </c>
      <c r="I343" s="3" t="s">
        <v>5826</v>
      </c>
      <c r="J343" s="3" t="s">
        <v>5536</v>
      </c>
      <c r="K343" s="3" t="s">
        <v>5594</v>
      </c>
      <c r="L343" s="8" t="str">
        <f>HYPERLINK("http://slimages.macys.com/is/image/MCY/9758508 ")</f>
        <v xml:space="preserve">http://slimages.macys.com/is/image/MCY/9758508 </v>
      </c>
    </row>
    <row r="344" spans="1:12" ht="24.75" x14ac:dyDescent="0.25">
      <c r="A344" s="6" t="s">
        <v>6593</v>
      </c>
      <c r="B344" s="3" t="s">
        <v>6583</v>
      </c>
      <c r="C344" s="4">
        <v>2</v>
      </c>
      <c r="D344" s="5">
        <v>46</v>
      </c>
      <c r="E344" s="4">
        <v>100019474</v>
      </c>
      <c r="F344" s="3" t="s">
        <v>5532</v>
      </c>
      <c r="G344" s="7" t="s">
        <v>5824</v>
      </c>
      <c r="H344" s="3" t="s">
        <v>5825</v>
      </c>
      <c r="I344" s="3" t="s">
        <v>5826</v>
      </c>
      <c r="J344" s="3" t="s">
        <v>5536</v>
      </c>
      <c r="K344" s="3" t="s">
        <v>5594</v>
      </c>
      <c r="L344" s="8" t="str">
        <f>HYPERLINK("http://slimages.macys.com/is/image/MCY/9758508 ")</f>
        <v xml:space="preserve">http://slimages.macys.com/is/image/MCY/9758508 </v>
      </c>
    </row>
    <row r="345" spans="1:12" ht="24.75" x14ac:dyDescent="0.25">
      <c r="A345" s="6" t="s">
        <v>2446</v>
      </c>
      <c r="B345" s="3" t="s">
        <v>5081</v>
      </c>
      <c r="C345" s="4">
        <v>1</v>
      </c>
      <c r="D345" s="5">
        <v>24</v>
      </c>
      <c r="E345" s="4">
        <v>100005699</v>
      </c>
      <c r="F345" s="3" t="s">
        <v>5540</v>
      </c>
      <c r="G345" s="7"/>
      <c r="H345" s="3" t="s">
        <v>5825</v>
      </c>
      <c r="I345" s="3" t="s">
        <v>6673</v>
      </c>
      <c r="J345" s="3" t="s">
        <v>5536</v>
      </c>
      <c r="K345" s="3" t="s">
        <v>5553</v>
      </c>
      <c r="L345" s="8" t="str">
        <f>HYPERLINK("http://slimages.macys.com/is/image/MCY/8974187 ")</f>
        <v xml:space="preserve">http://slimages.macys.com/is/image/MCY/8974187 </v>
      </c>
    </row>
    <row r="346" spans="1:12" ht="24.75" x14ac:dyDescent="0.25">
      <c r="A346" s="6" t="s">
        <v>4327</v>
      </c>
      <c r="B346" s="3" t="s">
        <v>4328</v>
      </c>
      <c r="C346" s="4">
        <v>1</v>
      </c>
      <c r="D346" s="5">
        <v>23.34</v>
      </c>
      <c r="E346" s="4" t="s">
        <v>4329</v>
      </c>
      <c r="F346" s="3" t="s">
        <v>5532</v>
      </c>
      <c r="G346" s="7" t="s">
        <v>5898</v>
      </c>
      <c r="H346" s="3" t="s">
        <v>6280</v>
      </c>
      <c r="I346" s="3" t="s">
        <v>4330</v>
      </c>
      <c r="J346" s="3" t="s">
        <v>5536</v>
      </c>
      <c r="K346" s="3" t="s">
        <v>6338</v>
      </c>
      <c r="L346" s="8" t="str">
        <f>HYPERLINK("http://slimages.macys.com/is/image/MCY/15883535 ")</f>
        <v xml:space="preserve">http://slimages.macys.com/is/image/MCY/15883535 </v>
      </c>
    </row>
    <row r="347" spans="1:12" ht="24.75" x14ac:dyDescent="0.25">
      <c r="A347" s="6" t="s">
        <v>2447</v>
      </c>
      <c r="B347" s="3" t="s">
        <v>2448</v>
      </c>
      <c r="C347" s="4">
        <v>1</v>
      </c>
      <c r="D347" s="5">
        <v>23.34</v>
      </c>
      <c r="E347" s="4" t="s">
        <v>2449</v>
      </c>
      <c r="F347" s="3" t="s">
        <v>5532</v>
      </c>
      <c r="G347" s="7" t="s">
        <v>5898</v>
      </c>
      <c r="H347" s="3" t="s">
        <v>6280</v>
      </c>
      <c r="I347" s="3" t="s">
        <v>4330</v>
      </c>
      <c r="J347" s="3" t="s">
        <v>5536</v>
      </c>
      <c r="K347" s="3" t="s">
        <v>6338</v>
      </c>
      <c r="L347" s="8" t="str">
        <f>HYPERLINK("http://slimages.macys.com/is/image/MCY/14827090 ")</f>
        <v xml:space="preserve">http://slimages.macys.com/is/image/MCY/14827090 </v>
      </c>
    </row>
    <row r="348" spans="1:12" ht="24.75" x14ac:dyDescent="0.25">
      <c r="A348" s="6" t="s">
        <v>2450</v>
      </c>
      <c r="B348" s="3" t="s">
        <v>2451</v>
      </c>
      <c r="C348" s="4">
        <v>1</v>
      </c>
      <c r="D348" s="5">
        <v>23.34</v>
      </c>
      <c r="E348" s="4" t="s">
        <v>2452</v>
      </c>
      <c r="F348" s="3" t="s">
        <v>5532</v>
      </c>
      <c r="G348" s="7" t="s">
        <v>5898</v>
      </c>
      <c r="H348" s="3" t="s">
        <v>6280</v>
      </c>
      <c r="I348" s="3" t="s">
        <v>4330</v>
      </c>
      <c r="J348" s="3" t="s">
        <v>5536</v>
      </c>
      <c r="K348" s="3" t="s">
        <v>6338</v>
      </c>
      <c r="L348" s="8" t="str">
        <f>HYPERLINK("http://slimages.macys.com/is/image/MCY/14772051 ")</f>
        <v xml:space="preserve">http://slimages.macys.com/is/image/MCY/14772051 </v>
      </c>
    </row>
    <row r="349" spans="1:12" ht="24.75" x14ac:dyDescent="0.25">
      <c r="A349" s="6" t="s">
        <v>2453</v>
      </c>
      <c r="B349" s="3" t="s">
        <v>2454</v>
      </c>
      <c r="C349" s="4">
        <v>2</v>
      </c>
      <c r="D349" s="5">
        <v>46.68</v>
      </c>
      <c r="E349" s="4" t="s">
        <v>2455</v>
      </c>
      <c r="F349" s="3" t="s">
        <v>5532</v>
      </c>
      <c r="G349" s="7" t="s">
        <v>5898</v>
      </c>
      <c r="H349" s="3" t="s">
        <v>6280</v>
      </c>
      <c r="I349" s="3" t="s">
        <v>4330</v>
      </c>
      <c r="J349" s="3" t="s">
        <v>5536</v>
      </c>
      <c r="K349" s="3" t="s">
        <v>6338</v>
      </c>
      <c r="L349" s="8" t="str">
        <f>HYPERLINK("http://slimages.macys.com/is/image/MCY/10923051 ")</f>
        <v xml:space="preserve">http://slimages.macys.com/is/image/MCY/10923051 </v>
      </c>
    </row>
    <row r="350" spans="1:12" ht="24.75" x14ac:dyDescent="0.25">
      <c r="A350" s="6" t="s">
        <v>2456</v>
      </c>
      <c r="B350" s="3" t="s">
        <v>2457</v>
      </c>
      <c r="C350" s="4">
        <v>1</v>
      </c>
      <c r="D350" s="5">
        <v>23.34</v>
      </c>
      <c r="E350" s="4" t="s">
        <v>2458</v>
      </c>
      <c r="F350" s="3" t="s">
        <v>6075</v>
      </c>
      <c r="G350" s="7" t="s">
        <v>5898</v>
      </c>
      <c r="H350" s="3" t="s">
        <v>6280</v>
      </c>
      <c r="I350" s="3" t="s">
        <v>4330</v>
      </c>
      <c r="J350" s="3" t="s">
        <v>5536</v>
      </c>
      <c r="K350" s="3" t="s">
        <v>6316</v>
      </c>
      <c r="L350" s="8" t="str">
        <f>HYPERLINK("http://slimages.macys.com/is/image/MCY/15883417 ")</f>
        <v xml:space="preserve">http://slimages.macys.com/is/image/MCY/15883417 </v>
      </c>
    </row>
    <row r="351" spans="1:12" ht="24.75" x14ac:dyDescent="0.25">
      <c r="A351" s="6" t="s">
        <v>2459</v>
      </c>
      <c r="B351" s="3" t="s">
        <v>2460</v>
      </c>
      <c r="C351" s="4">
        <v>1</v>
      </c>
      <c r="D351" s="5">
        <v>23</v>
      </c>
      <c r="E351" s="4" t="s">
        <v>2461</v>
      </c>
      <c r="F351" s="3" t="s">
        <v>6275</v>
      </c>
      <c r="G351" s="7" t="s">
        <v>5760</v>
      </c>
      <c r="H351" s="3" t="s">
        <v>5825</v>
      </c>
      <c r="I351" s="3" t="s">
        <v>5826</v>
      </c>
      <c r="J351" s="3" t="s">
        <v>5536</v>
      </c>
      <c r="K351" s="3" t="s">
        <v>5594</v>
      </c>
      <c r="L351" s="8" t="str">
        <f>HYPERLINK("http://slimages.macys.com/is/image/MCY/13401361 ")</f>
        <v xml:space="preserve">http://slimages.macys.com/is/image/MCY/13401361 </v>
      </c>
    </row>
    <row r="352" spans="1:12" ht="24.75" x14ac:dyDescent="0.25">
      <c r="A352" s="6" t="s">
        <v>2462</v>
      </c>
      <c r="B352" s="3" t="s">
        <v>2463</v>
      </c>
      <c r="C352" s="4">
        <v>1</v>
      </c>
      <c r="D352" s="5">
        <v>23.34</v>
      </c>
      <c r="E352" s="4" t="s">
        <v>2464</v>
      </c>
      <c r="F352" s="3" t="s">
        <v>5754</v>
      </c>
      <c r="G352" s="7" t="s">
        <v>5898</v>
      </c>
      <c r="H352" s="3" t="s">
        <v>6280</v>
      </c>
      <c r="I352" s="3" t="s">
        <v>4330</v>
      </c>
      <c r="J352" s="3" t="s">
        <v>5536</v>
      </c>
      <c r="K352" s="3" t="s">
        <v>6316</v>
      </c>
      <c r="L352" s="8" t="str">
        <f>HYPERLINK("http://slimages.macys.com/is/image/MCY/15196957 ")</f>
        <v xml:space="preserve">http://slimages.macys.com/is/image/MCY/15196957 </v>
      </c>
    </row>
    <row r="353" spans="1:12" ht="24.75" x14ac:dyDescent="0.25">
      <c r="A353" s="6" t="s">
        <v>2465</v>
      </c>
      <c r="B353" s="3" t="s">
        <v>2463</v>
      </c>
      <c r="C353" s="4">
        <v>2</v>
      </c>
      <c r="D353" s="5">
        <v>46.68</v>
      </c>
      <c r="E353" s="4" t="s">
        <v>2464</v>
      </c>
      <c r="F353" s="3" t="s">
        <v>5532</v>
      </c>
      <c r="G353" s="7" t="s">
        <v>5898</v>
      </c>
      <c r="H353" s="3" t="s">
        <v>6280</v>
      </c>
      <c r="I353" s="3" t="s">
        <v>4330</v>
      </c>
      <c r="J353" s="3" t="s">
        <v>5536</v>
      </c>
      <c r="K353" s="3" t="s">
        <v>6316</v>
      </c>
      <c r="L353" s="8" t="str">
        <f>HYPERLINK("http://slimages.macys.com/is/image/MCY/15196957 ")</f>
        <v xml:space="preserve">http://slimages.macys.com/is/image/MCY/15196957 </v>
      </c>
    </row>
    <row r="354" spans="1:12" ht="36.75" x14ac:dyDescent="0.25">
      <c r="A354" s="6" t="s">
        <v>2466</v>
      </c>
      <c r="B354" s="3" t="s">
        <v>2467</v>
      </c>
      <c r="C354" s="4">
        <v>1</v>
      </c>
      <c r="D354" s="5">
        <v>23.34</v>
      </c>
      <c r="E354" s="4" t="s">
        <v>2468</v>
      </c>
      <c r="F354" s="3" t="s">
        <v>5625</v>
      </c>
      <c r="G354" s="7" t="s">
        <v>5898</v>
      </c>
      <c r="H354" s="3" t="s">
        <v>6280</v>
      </c>
      <c r="I354" s="3" t="s">
        <v>4330</v>
      </c>
      <c r="J354" s="3" t="s">
        <v>5536</v>
      </c>
      <c r="K354" s="3" t="s">
        <v>2469</v>
      </c>
      <c r="L354" s="8" t="str">
        <f>HYPERLINK("http://slimages.macys.com/is/image/MCY/16079952 ")</f>
        <v xml:space="preserve">http://slimages.macys.com/is/image/MCY/16079952 </v>
      </c>
    </row>
    <row r="355" spans="1:12" ht="24.75" x14ac:dyDescent="0.25">
      <c r="A355" s="6" t="s">
        <v>2470</v>
      </c>
      <c r="B355" s="3" t="s">
        <v>2471</v>
      </c>
      <c r="C355" s="4">
        <v>1</v>
      </c>
      <c r="D355" s="5">
        <v>23.34</v>
      </c>
      <c r="E355" s="4" t="s">
        <v>2472</v>
      </c>
      <c r="F355" s="3" t="s">
        <v>5540</v>
      </c>
      <c r="G355" s="7" t="s">
        <v>5898</v>
      </c>
      <c r="H355" s="3" t="s">
        <v>6280</v>
      </c>
      <c r="I355" s="3" t="s">
        <v>4330</v>
      </c>
      <c r="J355" s="3" t="s">
        <v>5536</v>
      </c>
      <c r="K355" s="3" t="s">
        <v>2473</v>
      </c>
      <c r="L355" s="8" t="str">
        <f>HYPERLINK("http://slimages.macys.com/is/image/MCY/16079425 ")</f>
        <v xml:space="preserve">http://slimages.macys.com/is/image/MCY/16079425 </v>
      </c>
    </row>
    <row r="356" spans="1:12" ht="24.75" x14ac:dyDescent="0.25">
      <c r="A356" s="6" t="s">
        <v>2474</v>
      </c>
      <c r="B356" s="3" t="s">
        <v>2475</v>
      </c>
      <c r="C356" s="4">
        <v>1</v>
      </c>
      <c r="D356" s="5">
        <v>23</v>
      </c>
      <c r="E356" s="4">
        <v>100005305</v>
      </c>
      <c r="F356" s="3" t="s">
        <v>5532</v>
      </c>
      <c r="G356" s="7" t="s">
        <v>5777</v>
      </c>
      <c r="H356" s="3" t="s">
        <v>5825</v>
      </c>
      <c r="I356" s="3" t="s">
        <v>5826</v>
      </c>
      <c r="J356" s="3" t="s">
        <v>5536</v>
      </c>
      <c r="K356" s="3" t="s">
        <v>5594</v>
      </c>
      <c r="L356" s="8" t="str">
        <f>HYPERLINK("http://slimages.macys.com/is/image/MCY/9228910 ")</f>
        <v xml:space="preserve">http://slimages.macys.com/is/image/MCY/9228910 </v>
      </c>
    </row>
    <row r="357" spans="1:12" x14ac:dyDescent="0.25">
      <c r="A357" s="6" t="s">
        <v>2476</v>
      </c>
      <c r="B357" s="3" t="s">
        <v>2477</v>
      </c>
      <c r="C357" s="4">
        <v>1</v>
      </c>
      <c r="D357" s="5">
        <v>29.5</v>
      </c>
      <c r="E357" s="4">
        <v>100084825</v>
      </c>
      <c r="F357" s="3" t="s">
        <v>5783</v>
      </c>
      <c r="G357" s="7" t="s">
        <v>5596</v>
      </c>
      <c r="H357" s="3" t="s">
        <v>5585</v>
      </c>
      <c r="I357" s="3" t="s">
        <v>5734</v>
      </c>
      <c r="J357" s="3" t="s">
        <v>5536</v>
      </c>
      <c r="K357" s="3" t="s">
        <v>5549</v>
      </c>
      <c r="L357" s="8" t="str">
        <f>HYPERLINK("http://slimages.macys.com/is/image/MCY/15538384 ")</f>
        <v xml:space="preserve">http://slimages.macys.com/is/image/MCY/15538384 </v>
      </c>
    </row>
    <row r="358" spans="1:12" x14ac:dyDescent="0.25">
      <c r="A358" s="6" t="s">
        <v>2478</v>
      </c>
      <c r="B358" s="3" t="s">
        <v>2479</v>
      </c>
      <c r="C358" s="4">
        <v>1</v>
      </c>
      <c r="D358" s="5">
        <v>29.5</v>
      </c>
      <c r="E358" s="4" t="s">
        <v>2480</v>
      </c>
      <c r="F358" s="3" t="s">
        <v>5783</v>
      </c>
      <c r="G358" s="7" t="s">
        <v>5596</v>
      </c>
      <c r="H358" s="3" t="s">
        <v>5585</v>
      </c>
      <c r="I358" s="3" t="s">
        <v>5734</v>
      </c>
      <c r="J358" s="3" t="s">
        <v>5536</v>
      </c>
      <c r="K358" s="3" t="s">
        <v>5574</v>
      </c>
      <c r="L358" s="8" t="str">
        <f>HYPERLINK("http://slimages.macys.com/is/image/MCY/8877533 ")</f>
        <v xml:space="preserve">http://slimages.macys.com/is/image/MCY/8877533 </v>
      </c>
    </row>
    <row r="359" spans="1:12" ht="24.75" x14ac:dyDescent="0.25">
      <c r="A359" s="6" t="s">
        <v>2481</v>
      </c>
      <c r="B359" s="3" t="s">
        <v>2482</v>
      </c>
      <c r="C359" s="4">
        <v>1</v>
      </c>
      <c r="D359" s="5">
        <v>23</v>
      </c>
      <c r="E359" s="4" t="s">
        <v>2483</v>
      </c>
      <c r="F359" s="3" t="s">
        <v>5532</v>
      </c>
      <c r="G359" s="7" t="s">
        <v>6476</v>
      </c>
      <c r="H359" s="3" t="s">
        <v>5825</v>
      </c>
      <c r="I359" s="3" t="s">
        <v>5826</v>
      </c>
      <c r="J359" s="3" t="s">
        <v>5536</v>
      </c>
      <c r="K359" s="3" t="s">
        <v>5549</v>
      </c>
      <c r="L359" s="8" t="str">
        <f>HYPERLINK("http://slimages.macys.com/is/image/MCY/13796337 ")</f>
        <v xml:space="preserve">http://slimages.macys.com/is/image/MCY/13796337 </v>
      </c>
    </row>
    <row r="360" spans="1:12" x14ac:dyDescent="0.25">
      <c r="A360" s="6" t="s">
        <v>2484</v>
      </c>
      <c r="B360" s="3" t="s">
        <v>2485</v>
      </c>
      <c r="C360" s="4">
        <v>1</v>
      </c>
      <c r="D360" s="5">
        <v>29.99</v>
      </c>
      <c r="E360" s="4" t="s">
        <v>2486</v>
      </c>
      <c r="F360" s="3" t="s">
        <v>5532</v>
      </c>
      <c r="G360" s="7" t="s">
        <v>5596</v>
      </c>
      <c r="H360" s="3" t="s">
        <v>6065</v>
      </c>
      <c r="I360" s="3" t="s">
        <v>6066</v>
      </c>
      <c r="J360" s="3" t="s">
        <v>5536</v>
      </c>
      <c r="K360" s="3" t="s">
        <v>5549</v>
      </c>
      <c r="L360" s="8" t="str">
        <f>HYPERLINK("http://slimages.macys.com/is/image/MCY/15361005 ")</f>
        <v xml:space="preserve">http://slimages.macys.com/is/image/MCY/15361005 </v>
      </c>
    </row>
    <row r="361" spans="1:12" ht="24.75" x14ac:dyDescent="0.25">
      <c r="A361" s="6" t="s">
        <v>2487</v>
      </c>
      <c r="B361" s="3" t="s">
        <v>5096</v>
      </c>
      <c r="C361" s="4">
        <v>2</v>
      </c>
      <c r="D361" s="5">
        <v>38</v>
      </c>
      <c r="E361" s="4" t="s">
        <v>5097</v>
      </c>
      <c r="F361" s="3" t="s">
        <v>5783</v>
      </c>
      <c r="G361" s="7" t="s">
        <v>5777</v>
      </c>
      <c r="H361" s="3" t="s">
        <v>6026</v>
      </c>
      <c r="I361" s="3" t="s">
        <v>5094</v>
      </c>
      <c r="J361" s="3" t="s">
        <v>5536</v>
      </c>
      <c r="K361" s="3" t="s">
        <v>5641</v>
      </c>
      <c r="L361" s="8" t="str">
        <f>HYPERLINK("http://slimages.macys.com/is/image/MCY/15805830 ")</f>
        <v xml:space="preserve">http://slimages.macys.com/is/image/MCY/15805830 </v>
      </c>
    </row>
    <row r="362" spans="1:12" ht="24.75" x14ac:dyDescent="0.25">
      <c r="A362" s="6" t="s">
        <v>2488</v>
      </c>
      <c r="B362" s="3" t="s">
        <v>2489</v>
      </c>
      <c r="C362" s="4">
        <v>1</v>
      </c>
      <c r="D362" s="5">
        <v>19</v>
      </c>
      <c r="E362" s="4" t="s">
        <v>2490</v>
      </c>
      <c r="F362" s="3" t="s">
        <v>5783</v>
      </c>
      <c r="G362" s="7"/>
      <c r="H362" s="3" t="s">
        <v>6026</v>
      </c>
      <c r="I362" s="3" t="s">
        <v>5094</v>
      </c>
      <c r="J362" s="3" t="s">
        <v>5536</v>
      </c>
      <c r="K362" s="3" t="s">
        <v>5574</v>
      </c>
      <c r="L362" s="8" t="str">
        <f>HYPERLINK("http://slimages.macys.com/is/image/MCY/15805673 ")</f>
        <v xml:space="preserve">http://slimages.macys.com/is/image/MCY/15805673 </v>
      </c>
    </row>
    <row r="363" spans="1:12" ht="36.75" x14ac:dyDescent="0.25">
      <c r="A363" s="6" t="s">
        <v>6616</v>
      </c>
      <c r="B363" s="3" t="s">
        <v>6612</v>
      </c>
      <c r="C363" s="4">
        <v>1</v>
      </c>
      <c r="D363" s="5">
        <v>20.88</v>
      </c>
      <c r="E363" s="4" t="s">
        <v>6613</v>
      </c>
      <c r="F363" s="3" t="s">
        <v>5540</v>
      </c>
      <c r="G363" s="7" t="s">
        <v>5562</v>
      </c>
      <c r="H363" s="3" t="s">
        <v>5842</v>
      </c>
      <c r="I363" s="3" t="s">
        <v>5843</v>
      </c>
      <c r="J363" s="3" t="s">
        <v>5536</v>
      </c>
      <c r="K363" s="3" t="s">
        <v>6614</v>
      </c>
      <c r="L363" s="8" t="str">
        <f>HYPERLINK("http://slimages.macys.com/is/image/MCY/15251823 ")</f>
        <v xml:space="preserve">http://slimages.macys.com/is/image/MCY/15251823 </v>
      </c>
    </row>
    <row r="364" spans="1:12" ht="24.75" x14ac:dyDescent="0.25">
      <c r="A364" s="6" t="s">
        <v>2491</v>
      </c>
      <c r="B364" s="3" t="s">
        <v>2492</v>
      </c>
      <c r="C364" s="4">
        <v>1</v>
      </c>
      <c r="D364" s="5">
        <v>24.5</v>
      </c>
      <c r="E364" s="4">
        <v>100063511</v>
      </c>
      <c r="F364" s="3" t="s">
        <v>6275</v>
      </c>
      <c r="G364" s="7" t="s">
        <v>5562</v>
      </c>
      <c r="H364" s="3" t="s">
        <v>5585</v>
      </c>
      <c r="I364" s="3" t="s">
        <v>5734</v>
      </c>
      <c r="J364" s="3" t="s">
        <v>5536</v>
      </c>
      <c r="K364" s="3" t="s">
        <v>2493</v>
      </c>
      <c r="L364" s="8" t="str">
        <f>HYPERLINK("http://slimages.macys.com/is/image/MCY/14401326 ")</f>
        <v xml:space="preserve">http://slimages.macys.com/is/image/MCY/14401326 </v>
      </c>
    </row>
    <row r="365" spans="1:12" ht="48.75" x14ac:dyDescent="0.25">
      <c r="A365" s="6" t="s">
        <v>2494</v>
      </c>
      <c r="B365" s="3" t="s">
        <v>2495</v>
      </c>
      <c r="C365" s="4">
        <v>1</v>
      </c>
      <c r="D365" s="5">
        <v>19.989999999999998</v>
      </c>
      <c r="E365" s="4" t="s">
        <v>2496</v>
      </c>
      <c r="F365" s="3" t="s">
        <v>5540</v>
      </c>
      <c r="G365" s="7" t="s">
        <v>5898</v>
      </c>
      <c r="H365" s="3" t="s">
        <v>6632</v>
      </c>
      <c r="I365" s="3" t="s">
        <v>6633</v>
      </c>
      <c r="J365" s="3" t="s">
        <v>5536</v>
      </c>
      <c r="K365" s="3" t="s">
        <v>2497</v>
      </c>
      <c r="L365" s="8" t="str">
        <f>HYPERLINK("http://slimages.macys.com/is/image/MCY/12781206 ")</f>
        <v xml:space="preserve">http://slimages.macys.com/is/image/MCY/12781206 </v>
      </c>
    </row>
    <row r="366" spans="1:12" ht="48.75" x14ac:dyDescent="0.25">
      <c r="A366" s="6" t="s">
        <v>2498</v>
      </c>
      <c r="B366" s="3" t="s">
        <v>2499</v>
      </c>
      <c r="C366" s="4">
        <v>1</v>
      </c>
      <c r="D366" s="5">
        <v>19.989999999999998</v>
      </c>
      <c r="E366" s="4" t="s">
        <v>2500</v>
      </c>
      <c r="F366" s="3" t="s">
        <v>5625</v>
      </c>
      <c r="G366" s="7" t="s">
        <v>5898</v>
      </c>
      <c r="H366" s="3" t="s">
        <v>6632</v>
      </c>
      <c r="I366" s="3" t="s">
        <v>6633</v>
      </c>
      <c r="J366" s="3" t="s">
        <v>5536</v>
      </c>
      <c r="K366" s="3" t="s">
        <v>2497</v>
      </c>
      <c r="L366" s="8" t="str">
        <f>HYPERLINK("http://slimages.macys.com/is/image/MCY/12781206 ")</f>
        <v xml:space="preserve">http://slimages.macys.com/is/image/MCY/12781206 </v>
      </c>
    </row>
    <row r="367" spans="1:12" ht="24.75" x14ac:dyDescent="0.25">
      <c r="A367" s="6" t="s">
        <v>6635</v>
      </c>
      <c r="B367" s="3" t="s">
        <v>6636</v>
      </c>
      <c r="C367" s="4">
        <v>1</v>
      </c>
      <c r="D367" s="5">
        <v>29.99</v>
      </c>
      <c r="E367" s="4" t="s">
        <v>6637</v>
      </c>
      <c r="F367" s="3" t="s">
        <v>5532</v>
      </c>
      <c r="G367" s="7" t="s">
        <v>5596</v>
      </c>
      <c r="H367" s="3" t="s">
        <v>6065</v>
      </c>
      <c r="I367" s="3" t="s">
        <v>6066</v>
      </c>
      <c r="J367" s="3" t="s">
        <v>5536</v>
      </c>
      <c r="K367" s="3" t="s">
        <v>6638</v>
      </c>
      <c r="L367" s="8" t="str">
        <f>HYPERLINK("http://slimages.macys.com/is/image/MCY/8796569 ")</f>
        <v xml:space="preserve">http://slimages.macys.com/is/image/MCY/8796569 </v>
      </c>
    </row>
    <row r="368" spans="1:12" ht="24.75" x14ac:dyDescent="0.25">
      <c r="A368" s="6" t="s">
        <v>2501</v>
      </c>
      <c r="B368" s="3" t="s">
        <v>2502</v>
      </c>
      <c r="C368" s="4">
        <v>1</v>
      </c>
      <c r="D368" s="5">
        <v>35</v>
      </c>
      <c r="E368" s="4" t="s">
        <v>2503</v>
      </c>
      <c r="F368" s="3" t="s">
        <v>5820</v>
      </c>
      <c r="G368" s="7" t="s">
        <v>5533</v>
      </c>
      <c r="H368" s="3" t="s">
        <v>3941</v>
      </c>
      <c r="I368" s="3" t="s">
        <v>3942</v>
      </c>
      <c r="J368" s="3" t="s">
        <v>5536</v>
      </c>
      <c r="K368" s="3" t="s">
        <v>5574</v>
      </c>
      <c r="L368" s="8" t="str">
        <f>HYPERLINK("http://slimages.macys.com/is/image/MCY/15435215 ")</f>
        <v xml:space="preserve">http://slimages.macys.com/is/image/MCY/15435215 </v>
      </c>
    </row>
    <row r="369" spans="1:12" ht="24.75" x14ac:dyDescent="0.25">
      <c r="A369" s="6" t="s">
        <v>2504</v>
      </c>
      <c r="B369" s="3" t="s">
        <v>6655</v>
      </c>
      <c r="C369" s="4">
        <v>1</v>
      </c>
      <c r="D369" s="5">
        <v>27.99</v>
      </c>
      <c r="E369" s="4">
        <v>10006153900</v>
      </c>
      <c r="F369" s="3" t="s">
        <v>6703</v>
      </c>
      <c r="G369" s="7" t="s">
        <v>6252</v>
      </c>
      <c r="H369" s="3" t="s">
        <v>6652</v>
      </c>
      <c r="I369" s="3" t="s">
        <v>6653</v>
      </c>
      <c r="J369" s="3" t="s">
        <v>5536</v>
      </c>
      <c r="K369" s="3" t="s">
        <v>5727</v>
      </c>
      <c r="L369" s="8" t="str">
        <f>HYPERLINK("http://slimages.macys.com/is/image/MCY/11607515 ")</f>
        <v xml:space="preserve">http://slimages.macys.com/is/image/MCY/11607515 </v>
      </c>
    </row>
    <row r="370" spans="1:12" ht="24.75" x14ac:dyDescent="0.25">
      <c r="A370" s="6" t="s">
        <v>6659</v>
      </c>
      <c r="B370" s="3" t="s">
        <v>6660</v>
      </c>
      <c r="C370" s="4">
        <v>1</v>
      </c>
      <c r="D370" s="5">
        <v>29.99</v>
      </c>
      <c r="E370" s="4" t="s">
        <v>6661</v>
      </c>
      <c r="F370" s="3" t="s">
        <v>5754</v>
      </c>
      <c r="G370" s="7" t="s">
        <v>5560</v>
      </c>
      <c r="H370" s="3" t="s">
        <v>6065</v>
      </c>
      <c r="I370" s="3" t="s">
        <v>6066</v>
      </c>
      <c r="J370" s="3" t="s">
        <v>5536</v>
      </c>
      <c r="K370" s="3" t="s">
        <v>6638</v>
      </c>
      <c r="L370" s="8" t="str">
        <f>HYPERLINK("http://slimages.macys.com/is/image/MCY/8796569 ")</f>
        <v xml:space="preserve">http://slimages.macys.com/is/image/MCY/8796569 </v>
      </c>
    </row>
    <row r="371" spans="1:12" ht="24.75" x14ac:dyDescent="0.25">
      <c r="A371" s="6" t="s">
        <v>2505</v>
      </c>
      <c r="B371" s="3" t="s">
        <v>6660</v>
      </c>
      <c r="C371" s="4">
        <v>1</v>
      </c>
      <c r="D371" s="5">
        <v>29.99</v>
      </c>
      <c r="E371" s="4" t="s">
        <v>2506</v>
      </c>
      <c r="F371" s="3" t="s">
        <v>5532</v>
      </c>
      <c r="G371" s="7" t="s">
        <v>5562</v>
      </c>
      <c r="H371" s="3" t="s">
        <v>6065</v>
      </c>
      <c r="I371" s="3" t="s">
        <v>6066</v>
      </c>
      <c r="J371" s="3" t="s">
        <v>5536</v>
      </c>
      <c r="K371" s="3" t="s">
        <v>6638</v>
      </c>
      <c r="L371" s="8" t="str">
        <f>HYPERLINK("http://slimages.macys.com/is/image/MCY/8796569 ")</f>
        <v xml:space="preserve">http://slimages.macys.com/is/image/MCY/8796569 </v>
      </c>
    </row>
    <row r="372" spans="1:12" x14ac:dyDescent="0.25">
      <c r="A372" s="6" t="s">
        <v>2507</v>
      </c>
      <c r="B372" s="3" t="s">
        <v>2508</v>
      </c>
      <c r="C372" s="4">
        <v>1</v>
      </c>
      <c r="D372" s="5">
        <v>29.99</v>
      </c>
      <c r="E372" s="4">
        <v>10131</v>
      </c>
      <c r="F372" s="3" t="s">
        <v>6983</v>
      </c>
      <c r="G372" s="7" t="s">
        <v>5560</v>
      </c>
      <c r="H372" s="3" t="s">
        <v>6065</v>
      </c>
      <c r="I372" s="3" t="s">
        <v>6066</v>
      </c>
      <c r="J372" s="3" t="s">
        <v>5536</v>
      </c>
      <c r="K372" s="3" t="s">
        <v>5574</v>
      </c>
      <c r="L372" s="8" t="str">
        <f>HYPERLINK("http://slimages.macys.com/is/image/MCY/8819814 ")</f>
        <v xml:space="preserve">http://slimages.macys.com/is/image/MCY/8819814 </v>
      </c>
    </row>
    <row r="373" spans="1:12" ht="24.75" x14ac:dyDescent="0.25">
      <c r="A373" s="6" t="s">
        <v>2509</v>
      </c>
      <c r="B373" s="3" t="s">
        <v>2510</v>
      </c>
      <c r="C373" s="4">
        <v>1</v>
      </c>
      <c r="D373" s="5">
        <v>19.989999999999998</v>
      </c>
      <c r="E373" s="4" t="s">
        <v>2511</v>
      </c>
      <c r="F373" s="3" t="s">
        <v>5540</v>
      </c>
      <c r="G373" s="7" t="s">
        <v>2321</v>
      </c>
      <c r="H373" s="3" t="s">
        <v>5842</v>
      </c>
      <c r="I373" s="3" t="s">
        <v>5843</v>
      </c>
      <c r="J373" s="3" t="s">
        <v>5536</v>
      </c>
      <c r="K373" s="3" t="s">
        <v>2512</v>
      </c>
      <c r="L373" s="8" t="str">
        <f>HYPERLINK("http://slimages.macys.com/is/image/MCY/10520680 ")</f>
        <v xml:space="preserve">http://slimages.macys.com/is/image/MCY/10520680 </v>
      </c>
    </row>
    <row r="374" spans="1:12" ht="24.75" x14ac:dyDescent="0.25">
      <c r="A374" s="6" t="s">
        <v>5125</v>
      </c>
      <c r="B374" s="3" t="s">
        <v>5126</v>
      </c>
      <c r="C374" s="4">
        <v>1</v>
      </c>
      <c r="D374" s="5">
        <v>17.5</v>
      </c>
      <c r="E374" s="4" t="s">
        <v>5127</v>
      </c>
      <c r="F374" s="3" t="s">
        <v>5783</v>
      </c>
      <c r="G374" s="7" t="s">
        <v>5777</v>
      </c>
      <c r="H374" s="3" t="s">
        <v>5722</v>
      </c>
      <c r="I374" s="3" t="s">
        <v>5128</v>
      </c>
      <c r="J374" s="3" t="s">
        <v>5536</v>
      </c>
      <c r="K374" s="3" t="s">
        <v>5574</v>
      </c>
      <c r="L374" s="8" t="str">
        <f>HYPERLINK("http://slimages.macys.com/is/image/MCY/15817497 ")</f>
        <v xml:space="preserve">http://slimages.macys.com/is/image/MCY/15817497 </v>
      </c>
    </row>
    <row r="375" spans="1:12" ht="24.75" x14ac:dyDescent="0.25">
      <c r="A375" s="6" t="s">
        <v>2513</v>
      </c>
      <c r="B375" s="3" t="s">
        <v>2514</v>
      </c>
      <c r="C375" s="4">
        <v>2</v>
      </c>
      <c r="D375" s="5">
        <v>39</v>
      </c>
      <c r="E375" s="4" t="s">
        <v>2515</v>
      </c>
      <c r="F375" s="3" t="s">
        <v>5540</v>
      </c>
      <c r="G375" s="7" t="s">
        <v>6252</v>
      </c>
      <c r="H375" s="3" t="s">
        <v>5842</v>
      </c>
      <c r="I375" s="3" t="s">
        <v>6253</v>
      </c>
      <c r="J375" s="3" t="s">
        <v>5536</v>
      </c>
      <c r="K375" s="3" t="s">
        <v>5727</v>
      </c>
      <c r="L375" s="8" t="str">
        <f>HYPERLINK("http://slimages.macys.com/is/image/MCY/14370316 ")</f>
        <v xml:space="preserve">http://slimages.macys.com/is/image/MCY/14370316 </v>
      </c>
    </row>
    <row r="376" spans="1:12" ht="24.75" x14ac:dyDescent="0.25">
      <c r="A376" s="6" t="s">
        <v>2516</v>
      </c>
      <c r="B376" s="3" t="s">
        <v>2517</v>
      </c>
      <c r="C376" s="4">
        <v>2</v>
      </c>
      <c r="D376" s="5">
        <v>39</v>
      </c>
      <c r="E376" s="4" t="s">
        <v>2518</v>
      </c>
      <c r="F376" s="3" t="s">
        <v>5532</v>
      </c>
      <c r="G376" s="7" t="s">
        <v>6252</v>
      </c>
      <c r="H376" s="3" t="s">
        <v>5842</v>
      </c>
      <c r="I376" s="3" t="s">
        <v>6253</v>
      </c>
      <c r="J376" s="3" t="s">
        <v>5536</v>
      </c>
      <c r="K376" s="3" t="s">
        <v>5727</v>
      </c>
      <c r="L376" s="8" t="str">
        <f>HYPERLINK("http://slimages.macys.com/is/image/MCY/14370574 ")</f>
        <v xml:space="preserve">http://slimages.macys.com/is/image/MCY/14370574 </v>
      </c>
    </row>
    <row r="377" spans="1:12" ht="24.75" x14ac:dyDescent="0.25">
      <c r="A377" s="6" t="s">
        <v>2519</v>
      </c>
      <c r="B377" s="3" t="s">
        <v>2520</v>
      </c>
      <c r="C377" s="4">
        <v>1</v>
      </c>
      <c r="D377" s="5">
        <v>19.5</v>
      </c>
      <c r="E377" s="4" t="s">
        <v>2521</v>
      </c>
      <c r="F377" s="3" t="s">
        <v>5540</v>
      </c>
      <c r="G377" s="7" t="s">
        <v>6252</v>
      </c>
      <c r="H377" s="3" t="s">
        <v>5842</v>
      </c>
      <c r="I377" s="3" t="s">
        <v>6253</v>
      </c>
      <c r="J377" s="3" t="s">
        <v>5536</v>
      </c>
      <c r="K377" s="3" t="s">
        <v>5727</v>
      </c>
      <c r="L377" s="8" t="str">
        <f>HYPERLINK("http://slimages.macys.com/is/image/MCY/14370590 ")</f>
        <v xml:space="preserve">http://slimages.macys.com/is/image/MCY/14370590 </v>
      </c>
    </row>
    <row r="378" spans="1:12" x14ac:dyDescent="0.25">
      <c r="A378" s="6" t="s">
        <v>2522</v>
      </c>
      <c r="B378" s="3" t="s">
        <v>6669</v>
      </c>
      <c r="C378" s="4">
        <v>2</v>
      </c>
      <c r="D378" s="5">
        <v>49.98</v>
      </c>
      <c r="E378" s="4" t="s">
        <v>6670</v>
      </c>
      <c r="F378" s="3" t="s">
        <v>5661</v>
      </c>
      <c r="G378" s="7" t="s">
        <v>5598</v>
      </c>
      <c r="H378" s="3" t="s">
        <v>6003</v>
      </c>
      <c r="I378" s="3" t="s">
        <v>6004</v>
      </c>
      <c r="J378" s="3" t="s">
        <v>5536</v>
      </c>
      <c r="K378" s="3" t="s">
        <v>5549</v>
      </c>
      <c r="L378" s="8" t="str">
        <f>HYPERLINK("http://slimages.macys.com/is/image/MCY/14367672 ")</f>
        <v xml:space="preserve">http://slimages.macys.com/is/image/MCY/14367672 </v>
      </c>
    </row>
    <row r="379" spans="1:12" ht="24.75" x14ac:dyDescent="0.25">
      <c r="A379" s="6" t="s">
        <v>2523</v>
      </c>
      <c r="B379" s="3" t="s">
        <v>2524</v>
      </c>
      <c r="C379" s="4">
        <v>1</v>
      </c>
      <c r="D379" s="5">
        <v>24.99</v>
      </c>
      <c r="E379" s="4">
        <v>10007803100</v>
      </c>
      <c r="F379" s="3" t="s">
        <v>5578</v>
      </c>
      <c r="G379" s="7" t="s">
        <v>6252</v>
      </c>
      <c r="H379" s="3" t="s">
        <v>6652</v>
      </c>
      <c r="I379" s="3" t="s">
        <v>6673</v>
      </c>
      <c r="J379" s="3" t="s">
        <v>5536</v>
      </c>
      <c r="K379" s="3" t="s">
        <v>4060</v>
      </c>
      <c r="L379" s="8" t="str">
        <f>HYPERLINK("http://slimages.macys.com/is/image/MCY/14383632 ")</f>
        <v xml:space="preserve">http://slimages.macys.com/is/image/MCY/14383632 </v>
      </c>
    </row>
    <row r="380" spans="1:12" x14ac:dyDescent="0.25">
      <c r="A380" s="6" t="s">
        <v>2525</v>
      </c>
      <c r="B380" s="3" t="s">
        <v>5139</v>
      </c>
      <c r="C380" s="4">
        <v>1</v>
      </c>
      <c r="D380" s="5">
        <v>24.5</v>
      </c>
      <c r="E380" s="4">
        <v>100038308</v>
      </c>
      <c r="F380" s="3" t="s">
        <v>5783</v>
      </c>
      <c r="G380" s="7" t="s">
        <v>5562</v>
      </c>
      <c r="H380" s="3" t="s">
        <v>5585</v>
      </c>
      <c r="I380" s="3" t="s">
        <v>5734</v>
      </c>
      <c r="J380" s="3" t="s">
        <v>5536</v>
      </c>
      <c r="K380" s="3" t="s">
        <v>5594</v>
      </c>
      <c r="L380" s="8" t="str">
        <f>HYPERLINK("http://slimages.macys.com/is/image/MCY/13398205 ")</f>
        <v xml:space="preserve">http://slimages.macys.com/is/image/MCY/13398205 </v>
      </c>
    </row>
    <row r="381" spans="1:12" ht="24.75" x14ac:dyDescent="0.25">
      <c r="A381" s="6" t="s">
        <v>2526</v>
      </c>
      <c r="B381" s="3" t="s">
        <v>2527</v>
      </c>
      <c r="C381" s="4">
        <v>1</v>
      </c>
      <c r="D381" s="5">
        <v>19.989999999999998</v>
      </c>
      <c r="E381" s="4">
        <v>10008526400</v>
      </c>
      <c r="F381" s="3" t="s">
        <v>5540</v>
      </c>
      <c r="G381" s="7" t="s">
        <v>6252</v>
      </c>
      <c r="H381" s="3" t="s">
        <v>6652</v>
      </c>
      <c r="I381" s="3" t="s">
        <v>6686</v>
      </c>
      <c r="J381" s="3" t="s">
        <v>5536</v>
      </c>
      <c r="K381" s="3" t="s">
        <v>6316</v>
      </c>
      <c r="L381" s="8" t="str">
        <f>HYPERLINK("http://slimages.macys.com/is/image/MCY/14814906 ")</f>
        <v xml:space="preserve">http://slimages.macys.com/is/image/MCY/14814906 </v>
      </c>
    </row>
    <row r="382" spans="1:12" ht="24.75" x14ac:dyDescent="0.25">
      <c r="A382" s="6" t="s">
        <v>6689</v>
      </c>
      <c r="B382" s="3" t="s">
        <v>6690</v>
      </c>
      <c r="C382" s="4">
        <v>2</v>
      </c>
      <c r="D382" s="5">
        <v>39.979999999999997</v>
      </c>
      <c r="E382" s="4">
        <v>10008575000</v>
      </c>
      <c r="F382" s="3" t="s">
        <v>5532</v>
      </c>
      <c r="G382" s="7" t="s">
        <v>6252</v>
      </c>
      <c r="H382" s="3" t="s">
        <v>6652</v>
      </c>
      <c r="I382" s="3" t="s">
        <v>6686</v>
      </c>
      <c r="J382" s="3" t="s">
        <v>5536</v>
      </c>
      <c r="K382" s="3" t="s">
        <v>6316</v>
      </c>
      <c r="L382" s="8" t="str">
        <f>HYPERLINK("http://slimages.macys.com/is/image/MCY/15899453 ")</f>
        <v xml:space="preserve">http://slimages.macys.com/is/image/MCY/15899453 </v>
      </c>
    </row>
    <row r="383" spans="1:12" ht="24.75" x14ac:dyDescent="0.25">
      <c r="A383" s="6" t="s">
        <v>5140</v>
      </c>
      <c r="B383" s="3" t="s">
        <v>5141</v>
      </c>
      <c r="C383" s="4">
        <v>2</v>
      </c>
      <c r="D383" s="5">
        <v>39.979999999999997</v>
      </c>
      <c r="E383" s="4">
        <v>10007797500</v>
      </c>
      <c r="F383" s="3" t="s">
        <v>5532</v>
      </c>
      <c r="G383" s="7" t="s">
        <v>6252</v>
      </c>
      <c r="H383" s="3" t="s">
        <v>6652</v>
      </c>
      <c r="I383" s="3" t="s">
        <v>6681</v>
      </c>
      <c r="J383" s="3" t="s">
        <v>5536</v>
      </c>
      <c r="K383" s="3" t="s">
        <v>6748</v>
      </c>
      <c r="L383" s="8" t="str">
        <f>HYPERLINK("http://slimages.macys.com/is/image/MCY/13784275 ")</f>
        <v xml:space="preserve">http://slimages.macys.com/is/image/MCY/13784275 </v>
      </c>
    </row>
    <row r="384" spans="1:12" ht="24.75" x14ac:dyDescent="0.25">
      <c r="A384" s="6" t="s">
        <v>5173</v>
      </c>
      <c r="B384" s="3" t="s">
        <v>5149</v>
      </c>
      <c r="C384" s="4">
        <v>1</v>
      </c>
      <c r="D384" s="5">
        <v>19.989999999999998</v>
      </c>
      <c r="E384" s="4">
        <v>10008453900</v>
      </c>
      <c r="F384" s="3" t="s">
        <v>5540</v>
      </c>
      <c r="G384" s="7" t="s">
        <v>6252</v>
      </c>
      <c r="H384" s="3" t="s">
        <v>6652</v>
      </c>
      <c r="I384" s="3" t="s">
        <v>6681</v>
      </c>
      <c r="J384" s="3" t="s">
        <v>5536</v>
      </c>
      <c r="K384" s="3" t="s">
        <v>6316</v>
      </c>
      <c r="L384" s="8" t="str">
        <f>HYPERLINK("http://slimages.macys.com/is/image/MCY/15916956 ")</f>
        <v xml:space="preserve">http://slimages.macys.com/is/image/MCY/15916956 </v>
      </c>
    </row>
    <row r="385" spans="1:12" ht="24.75" x14ac:dyDescent="0.25">
      <c r="A385" s="6" t="s">
        <v>2528</v>
      </c>
      <c r="B385" s="3" t="s">
        <v>2529</v>
      </c>
      <c r="C385" s="4">
        <v>1</v>
      </c>
      <c r="D385" s="5">
        <v>19.989999999999998</v>
      </c>
      <c r="E385" s="4">
        <v>10006040100</v>
      </c>
      <c r="F385" s="3" t="s">
        <v>6703</v>
      </c>
      <c r="G385" s="7" t="s">
        <v>6252</v>
      </c>
      <c r="H385" s="3" t="s">
        <v>6652</v>
      </c>
      <c r="I385" s="3" t="s">
        <v>6681</v>
      </c>
      <c r="J385" s="3" t="s">
        <v>5536</v>
      </c>
      <c r="K385" s="3" t="s">
        <v>6338</v>
      </c>
      <c r="L385" s="8" t="str">
        <f>HYPERLINK("http://slimages.macys.com/is/image/MCY/11464882 ")</f>
        <v xml:space="preserve">http://slimages.macys.com/is/image/MCY/11464882 </v>
      </c>
    </row>
    <row r="386" spans="1:12" ht="24.75" x14ac:dyDescent="0.25">
      <c r="A386" s="6" t="s">
        <v>4415</v>
      </c>
      <c r="B386" s="3" t="s">
        <v>4416</v>
      </c>
      <c r="C386" s="4">
        <v>1</v>
      </c>
      <c r="D386" s="5">
        <v>19.989999999999998</v>
      </c>
      <c r="E386" s="4">
        <v>10005867100</v>
      </c>
      <c r="F386" s="3" t="s">
        <v>5552</v>
      </c>
      <c r="G386" s="7" t="s">
        <v>6252</v>
      </c>
      <c r="H386" s="3" t="s">
        <v>6652</v>
      </c>
      <c r="I386" s="3" t="s">
        <v>6686</v>
      </c>
      <c r="J386" s="3" t="s">
        <v>5536</v>
      </c>
      <c r="K386" s="3" t="s">
        <v>6338</v>
      </c>
      <c r="L386" s="8" t="str">
        <f>HYPERLINK("http://slimages.macys.com/is/image/MCY/11607278 ")</f>
        <v xml:space="preserve">http://slimages.macys.com/is/image/MCY/11607278 </v>
      </c>
    </row>
    <row r="387" spans="1:12" ht="24.75" x14ac:dyDescent="0.25">
      <c r="A387" s="6" t="s">
        <v>6694</v>
      </c>
      <c r="B387" s="3" t="s">
        <v>6685</v>
      </c>
      <c r="C387" s="4">
        <v>2</v>
      </c>
      <c r="D387" s="5">
        <v>39.979999999999997</v>
      </c>
      <c r="E387" s="4">
        <v>10008574900</v>
      </c>
      <c r="F387" s="3" t="s">
        <v>5532</v>
      </c>
      <c r="G387" s="7" t="s">
        <v>6252</v>
      </c>
      <c r="H387" s="3" t="s">
        <v>6652</v>
      </c>
      <c r="I387" s="3" t="s">
        <v>6686</v>
      </c>
      <c r="J387" s="3" t="s">
        <v>5536</v>
      </c>
      <c r="K387" s="3" t="s">
        <v>6316</v>
      </c>
      <c r="L387" s="8" t="str">
        <f>HYPERLINK("http://slimages.macys.com/is/image/MCY/16174384 ")</f>
        <v xml:space="preserve">http://slimages.macys.com/is/image/MCY/16174384 </v>
      </c>
    </row>
    <row r="388" spans="1:12" ht="24.75" x14ac:dyDescent="0.25">
      <c r="A388" s="6" t="s">
        <v>5148</v>
      </c>
      <c r="B388" s="3" t="s">
        <v>5149</v>
      </c>
      <c r="C388" s="4">
        <v>2</v>
      </c>
      <c r="D388" s="5">
        <v>39.979999999999997</v>
      </c>
      <c r="E388" s="4">
        <v>10008453900</v>
      </c>
      <c r="F388" s="3" t="s">
        <v>5661</v>
      </c>
      <c r="G388" s="7" t="s">
        <v>6252</v>
      </c>
      <c r="H388" s="3" t="s">
        <v>6652</v>
      </c>
      <c r="I388" s="3" t="s">
        <v>6681</v>
      </c>
      <c r="J388" s="3" t="s">
        <v>5536</v>
      </c>
      <c r="K388" s="3" t="s">
        <v>6316</v>
      </c>
      <c r="L388" s="8" t="str">
        <f>HYPERLINK("http://slimages.macys.com/is/image/MCY/15916956 ")</f>
        <v xml:space="preserve">http://slimages.macys.com/is/image/MCY/15916956 </v>
      </c>
    </row>
    <row r="389" spans="1:12" ht="24.75" x14ac:dyDescent="0.25">
      <c r="A389" s="6" t="s">
        <v>2530</v>
      </c>
      <c r="B389" s="3" t="s">
        <v>5152</v>
      </c>
      <c r="C389" s="4">
        <v>2</v>
      </c>
      <c r="D389" s="5">
        <v>39.979999999999997</v>
      </c>
      <c r="E389" s="4">
        <v>10007797800</v>
      </c>
      <c r="F389" s="3" t="s">
        <v>6335</v>
      </c>
      <c r="G389" s="7" t="s">
        <v>6252</v>
      </c>
      <c r="H389" s="3" t="s">
        <v>6652</v>
      </c>
      <c r="I389" s="3" t="s">
        <v>6681</v>
      </c>
      <c r="J389" s="3" t="s">
        <v>5536</v>
      </c>
      <c r="K389" s="3" t="s">
        <v>6316</v>
      </c>
      <c r="L389" s="8" t="str">
        <f>HYPERLINK("http://slimages.macys.com/is/image/MCY/14575005 ")</f>
        <v xml:space="preserve">http://slimages.macys.com/is/image/MCY/14575005 </v>
      </c>
    </row>
    <row r="390" spans="1:12" ht="24.75" x14ac:dyDescent="0.25">
      <c r="A390" s="6" t="s">
        <v>6734</v>
      </c>
      <c r="B390" s="3" t="s">
        <v>6688</v>
      </c>
      <c r="C390" s="4">
        <v>1</v>
      </c>
      <c r="D390" s="5">
        <v>19.989999999999998</v>
      </c>
      <c r="E390" s="4">
        <v>10008575200</v>
      </c>
      <c r="F390" s="3" t="s">
        <v>5532</v>
      </c>
      <c r="G390" s="7" t="s">
        <v>6252</v>
      </c>
      <c r="H390" s="3" t="s">
        <v>6652</v>
      </c>
      <c r="I390" s="3" t="s">
        <v>6686</v>
      </c>
      <c r="J390" s="3" t="s">
        <v>5536</v>
      </c>
      <c r="K390" s="3" t="s">
        <v>6316</v>
      </c>
      <c r="L390" s="8" t="str">
        <f>HYPERLINK("http://slimages.macys.com/is/image/MCY/15899484 ")</f>
        <v xml:space="preserve">http://slimages.macys.com/is/image/MCY/15899484 </v>
      </c>
    </row>
    <row r="391" spans="1:12" ht="24.75" x14ac:dyDescent="0.25">
      <c r="A391" s="6" t="s">
        <v>6746</v>
      </c>
      <c r="B391" s="3" t="s">
        <v>6747</v>
      </c>
      <c r="C391" s="4">
        <v>3</v>
      </c>
      <c r="D391" s="5">
        <v>59.97</v>
      </c>
      <c r="E391" s="4">
        <v>10007022700</v>
      </c>
      <c r="F391" s="3" t="s">
        <v>5532</v>
      </c>
      <c r="G391" s="7" t="s">
        <v>6252</v>
      </c>
      <c r="H391" s="3" t="s">
        <v>6652</v>
      </c>
      <c r="I391" s="3" t="s">
        <v>6681</v>
      </c>
      <c r="J391" s="3" t="s">
        <v>5536</v>
      </c>
      <c r="K391" s="3" t="s">
        <v>6748</v>
      </c>
      <c r="L391" s="8" t="str">
        <f>HYPERLINK("http://slimages.macys.com/is/image/MCY/13287456 ")</f>
        <v xml:space="preserve">http://slimages.macys.com/is/image/MCY/13287456 </v>
      </c>
    </row>
    <row r="392" spans="1:12" ht="24.75" x14ac:dyDescent="0.25">
      <c r="A392" s="6" t="s">
        <v>2531</v>
      </c>
      <c r="B392" s="3" t="s">
        <v>2532</v>
      </c>
      <c r="C392" s="4">
        <v>1</v>
      </c>
      <c r="D392" s="5">
        <v>19.989999999999998</v>
      </c>
      <c r="E392" s="4">
        <v>10007022900</v>
      </c>
      <c r="F392" s="3" t="s">
        <v>5578</v>
      </c>
      <c r="G392" s="7" t="s">
        <v>6252</v>
      </c>
      <c r="H392" s="3" t="s">
        <v>6652</v>
      </c>
      <c r="I392" s="3" t="s">
        <v>6681</v>
      </c>
      <c r="J392" s="3" t="s">
        <v>5536</v>
      </c>
      <c r="K392" s="3" t="s">
        <v>6316</v>
      </c>
      <c r="L392" s="8" t="str">
        <f>HYPERLINK("http://slimages.macys.com/is/image/MCY/13287468 ")</f>
        <v xml:space="preserve">http://slimages.macys.com/is/image/MCY/13287468 </v>
      </c>
    </row>
    <row r="393" spans="1:12" ht="24.75" x14ac:dyDescent="0.25">
      <c r="A393" s="6" t="s">
        <v>6709</v>
      </c>
      <c r="B393" s="3" t="s">
        <v>6710</v>
      </c>
      <c r="C393" s="4">
        <v>1</v>
      </c>
      <c r="D393" s="5">
        <v>19.989999999999998</v>
      </c>
      <c r="E393" s="4">
        <v>10005868600</v>
      </c>
      <c r="F393" s="3" t="s">
        <v>5661</v>
      </c>
      <c r="G393" s="7" t="s">
        <v>6252</v>
      </c>
      <c r="H393" s="3" t="s">
        <v>6652</v>
      </c>
      <c r="I393" s="3" t="s">
        <v>6686</v>
      </c>
      <c r="J393" s="3" t="s">
        <v>5536</v>
      </c>
      <c r="K393" s="3" t="s">
        <v>6338</v>
      </c>
      <c r="L393" s="8" t="str">
        <f>HYPERLINK("http://slimages.macys.com/is/image/MCY/14365771 ")</f>
        <v xml:space="preserve">http://slimages.macys.com/is/image/MCY/14365771 </v>
      </c>
    </row>
    <row r="394" spans="1:12" ht="24.75" x14ac:dyDescent="0.25">
      <c r="A394" s="6" t="s">
        <v>2533</v>
      </c>
      <c r="B394" s="3" t="s">
        <v>2534</v>
      </c>
      <c r="C394" s="4">
        <v>1</v>
      </c>
      <c r="D394" s="5">
        <v>19.989999999999998</v>
      </c>
      <c r="E394" s="4">
        <v>10007797400</v>
      </c>
      <c r="F394" s="3" t="s">
        <v>5532</v>
      </c>
      <c r="G394" s="7" t="s">
        <v>6252</v>
      </c>
      <c r="H394" s="3" t="s">
        <v>6652</v>
      </c>
      <c r="I394" s="3" t="s">
        <v>6681</v>
      </c>
      <c r="J394" s="3" t="s">
        <v>5536</v>
      </c>
      <c r="K394" s="3" t="s">
        <v>6316</v>
      </c>
      <c r="L394" s="8" t="str">
        <f>HYPERLINK("http://slimages.macys.com/is/image/MCY/13784242 ")</f>
        <v xml:space="preserve">http://slimages.macys.com/is/image/MCY/13784242 </v>
      </c>
    </row>
    <row r="395" spans="1:12" ht="24.75" x14ac:dyDescent="0.25">
      <c r="A395" s="6" t="s">
        <v>4423</v>
      </c>
      <c r="B395" s="3" t="s">
        <v>6688</v>
      </c>
      <c r="C395" s="4">
        <v>1</v>
      </c>
      <c r="D395" s="5">
        <v>19.989999999999998</v>
      </c>
      <c r="E395" s="4">
        <v>10008575200</v>
      </c>
      <c r="F395" s="3" t="s">
        <v>5578</v>
      </c>
      <c r="G395" s="7" t="s">
        <v>6252</v>
      </c>
      <c r="H395" s="3" t="s">
        <v>6652</v>
      </c>
      <c r="I395" s="3" t="s">
        <v>6686</v>
      </c>
      <c r="J395" s="3" t="s">
        <v>5536</v>
      </c>
      <c r="K395" s="3" t="s">
        <v>6316</v>
      </c>
      <c r="L395" s="8" t="str">
        <f>HYPERLINK("http://slimages.macys.com/is/image/MCY/15899484 ")</f>
        <v xml:space="preserve">http://slimages.macys.com/is/image/MCY/15899484 </v>
      </c>
    </row>
    <row r="396" spans="1:12" ht="24.75" x14ac:dyDescent="0.25">
      <c r="A396" s="6" t="s">
        <v>2535</v>
      </c>
      <c r="B396" s="3" t="s">
        <v>2536</v>
      </c>
      <c r="C396" s="4">
        <v>1</v>
      </c>
      <c r="D396" s="5">
        <v>19.989999999999998</v>
      </c>
      <c r="E396" s="4">
        <v>10007797900</v>
      </c>
      <c r="F396" s="3" t="s">
        <v>6335</v>
      </c>
      <c r="G396" s="7" t="s">
        <v>6252</v>
      </c>
      <c r="H396" s="3" t="s">
        <v>6652</v>
      </c>
      <c r="I396" s="3" t="s">
        <v>6681</v>
      </c>
      <c r="J396" s="3" t="s">
        <v>5536</v>
      </c>
      <c r="K396" s="3" t="s">
        <v>6316</v>
      </c>
      <c r="L396" s="8" t="str">
        <f>HYPERLINK("http://slimages.macys.com/is/image/MCY/14912106 ")</f>
        <v xml:space="preserve">http://slimages.macys.com/is/image/MCY/14912106 </v>
      </c>
    </row>
    <row r="397" spans="1:12" ht="24.75" x14ac:dyDescent="0.25">
      <c r="A397" s="6" t="s">
        <v>2537</v>
      </c>
      <c r="B397" s="3" t="s">
        <v>6714</v>
      </c>
      <c r="C397" s="4">
        <v>1</v>
      </c>
      <c r="D397" s="5">
        <v>19.989999999999998</v>
      </c>
      <c r="E397" s="4">
        <v>10007022800</v>
      </c>
      <c r="F397" s="3" t="s">
        <v>5578</v>
      </c>
      <c r="G397" s="7" t="s">
        <v>6252</v>
      </c>
      <c r="H397" s="3" t="s">
        <v>6652</v>
      </c>
      <c r="I397" s="3" t="s">
        <v>6681</v>
      </c>
      <c r="J397" s="3" t="s">
        <v>5536</v>
      </c>
      <c r="K397" s="3" t="s">
        <v>6338</v>
      </c>
      <c r="L397" s="8" t="str">
        <f>HYPERLINK("http://slimages.macys.com/is/image/MCY/13050572 ")</f>
        <v xml:space="preserve">http://slimages.macys.com/is/image/MCY/13050572 </v>
      </c>
    </row>
    <row r="398" spans="1:12" ht="24.75" x14ac:dyDescent="0.25">
      <c r="A398" s="6" t="s">
        <v>2538</v>
      </c>
      <c r="B398" s="3" t="s">
        <v>2534</v>
      </c>
      <c r="C398" s="4">
        <v>1</v>
      </c>
      <c r="D398" s="5">
        <v>19.989999999999998</v>
      </c>
      <c r="E398" s="4">
        <v>10007797400</v>
      </c>
      <c r="F398" s="3" t="s">
        <v>5578</v>
      </c>
      <c r="G398" s="7" t="s">
        <v>6252</v>
      </c>
      <c r="H398" s="3" t="s">
        <v>6652</v>
      </c>
      <c r="I398" s="3" t="s">
        <v>6681</v>
      </c>
      <c r="J398" s="3" t="s">
        <v>5536</v>
      </c>
      <c r="K398" s="3" t="s">
        <v>6316</v>
      </c>
      <c r="L398" s="8" t="str">
        <f>HYPERLINK("http://slimages.macys.com/is/image/MCY/13784242 ")</f>
        <v xml:space="preserve">http://slimages.macys.com/is/image/MCY/13784242 </v>
      </c>
    </row>
    <row r="399" spans="1:12" ht="24.75" x14ac:dyDescent="0.25">
      <c r="A399" s="6" t="s">
        <v>6740</v>
      </c>
      <c r="B399" s="3" t="s">
        <v>6717</v>
      </c>
      <c r="C399" s="4">
        <v>1</v>
      </c>
      <c r="D399" s="5">
        <v>19.989999999999998</v>
      </c>
      <c r="E399" s="4">
        <v>10007797300</v>
      </c>
      <c r="F399" s="3" t="s">
        <v>5532</v>
      </c>
      <c r="G399" s="7" t="s">
        <v>6252</v>
      </c>
      <c r="H399" s="3" t="s">
        <v>6652</v>
      </c>
      <c r="I399" s="3" t="s">
        <v>6686</v>
      </c>
      <c r="J399" s="3" t="s">
        <v>5536</v>
      </c>
      <c r="K399" s="3" t="s">
        <v>6316</v>
      </c>
      <c r="L399" s="8" t="str">
        <f>HYPERLINK("http://slimages.macys.com/is/image/MCY/13936405 ")</f>
        <v xml:space="preserve">http://slimages.macys.com/is/image/MCY/13936405 </v>
      </c>
    </row>
    <row r="400" spans="1:12" ht="24.75" x14ac:dyDescent="0.25">
      <c r="A400" s="6" t="s">
        <v>2539</v>
      </c>
      <c r="B400" s="3" t="s">
        <v>5179</v>
      </c>
      <c r="C400" s="4">
        <v>1</v>
      </c>
      <c r="D400" s="5">
        <v>20</v>
      </c>
      <c r="E400" s="4" t="s">
        <v>5180</v>
      </c>
      <c r="F400" s="3" t="s">
        <v>5540</v>
      </c>
      <c r="G400" s="7" t="s">
        <v>5596</v>
      </c>
      <c r="H400" s="3" t="s">
        <v>6492</v>
      </c>
      <c r="I400" s="3" t="s">
        <v>6604</v>
      </c>
      <c r="J400" s="3" t="s">
        <v>5536</v>
      </c>
      <c r="K400" s="3" t="s">
        <v>5549</v>
      </c>
      <c r="L400" s="8" t="str">
        <f>HYPERLINK("http://slimages.macys.com/is/image/MCY/15851393 ")</f>
        <v xml:space="preserve">http://slimages.macys.com/is/image/MCY/15851393 </v>
      </c>
    </row>
    <row r="401" spans="1:12" ht="24.75" x14ac:dyDescent="0.25">
      <c r="A401" s="6" t="s">
        <v>2540</v>
      </c>
      <c r="B401" s="3" t="s">
        <v>2541</v>
      </c>
      <c r="C401" s="4">
        <v>1</v>
      </c>
      <c r="D401" s="5">
        <v>24</v>
      </c>
      <c r="E401" s="4" t="s">
        <v>2542</v>
      </c>
      <c r="F401" s="3" t="s">
        <v>5540</v>
      </c>
      <c r="G401" s="7" t="s">
        <v>5598</v>
      </c>
      <c r="H401" s="3" t="s">
        <v>6492</v>
      </c>
      <c r="I401" s="3" t="s">
        <v>6604</v>
      </c>
      <c r="J401" s="3" t="s">
        <v>5536</v>
      </c>
      <c r="K401" s="3" t="s">
        <v>5594</v>
      </c>
      <c r="L401" s="8" t="str">
        <f>HYPERLINK("http://slimages.macys.com/is/image/MCY/15783890 ")</f>
        <v xml:space="preserve">http://slimages.macys.com/is/image/MCY/15783890 </v>
      </c>
    </row>
    <row r="402" spans="1:12" ht="24.75" x14ac:dyDescent="0.25">
      <c r="A402" s="6" t="s">
        <v>2543</v>
      </c>
      <c r="B402" s="3" t="s">
        <v>2544</v>
      </c>
      <c r="C402" s="4">
        <v>1</v>
      </c>
      <c r="D402" s="5">
        <v>20</v>
      </c>
      <c r="E402" s="4" t="s">
        <v>2545</v>
      </c>
      <c r="F402" s="3" t="s">
        <v>6010</v>
      </c>
      <c r="G402" s="7" t="s">
        <v>5562</v>
      </c>
      <c r="H402" s="3" t="s">
        <v>6492</v>
      </c>
      <c r="I402" s="3" t="s">
        <v>6604</v>
      </c>
      <c r="J402" s="3" t="s">
        <v>5536</v>
      </c>
      <c r="K402" s="3" t="s">
        <v>5549</v>
      </c>
      <c r="L402" s="8" t="str">
        <f>HYPERLINK("http://slimages.macys.com/is/image/MCY/15851397 ")</f>
        <v xml:space="preserve">http://slimages.macys.com/is/image/MCY/15851397 </v>
      </c>
    </row>
    <row r="403" spans="1:12" ht="24.75" x14ac:dyDescent="0.25">
      <c r="A403" s="6" t="s">
        <v>5178</v>
      </c>
      <c r="B403" s="3" t="s">
        <v>5179</v>
      </c>
      <c r="C403" s="4">
        <v>1</v>
      </c>
      <c r="D403" s="5">
        <v>20</v>
      </c>
      <c r="E403" s="4" t="s">
        <v>5180</v>
      </c>
      <c r="F403" s="3" t="s">
        <v>5540</v>
      </c>
      <c r="G403" s="7" t="s">
        <v>5533</v>
      </c>
      <c r="H403" s="3" t="s">
        <v>6492</v>
      </c>
      <c r="I403" s="3" t="s">
        <v>6604</v>
      </c>
      <c r="J403" s="3" t="s">
        <v>5536</v>
      </c>
      <c r="K403" s="3" t="s">
        <v>5549</v>
      </c>
      <c r="L403" s="8" t="str">
        <f>HYPERLINK("http://slimages.macys.com/is/image/MCY/15851393 ")</f>
        <v xml:space="preserve">http://slimages.macys.com/is/image/MCY/15851393 </v>
      </c>
    </row>
    <row r="404" spans="1:12" ht="24.75" x14ac:dyDescent="0.25">
      <c r="A404" s="6" t="s">
        <v>2546</v>
      </c>
      <c r="B404" s="3" t="s">
        <v>2547</v>
      </c>
      <c r="C404" s="4">
        <v>1</v>
      </c>
      <c r="D404" s="5">
        <v>14</v>
      </c>
      <c r="E404" s="4" t="s">
        <v>2548</v>
      </c>
      <c r="F404" s="3" t="s">
        <v>5540</v>
      </c>
      <c r="G404" s="7" t="s">
        <v>5898</v>
      </c>
      <c r="H404" s="3" t="s">
        <v>6515</v>
      </c>
      <c r="I404" s="3" t="s">
        <v>6066</v>
      </c>
      <c r="J404" s="3" t="s">
        <v>5536</v>
      </c>
      <c r="K404" s="3" t="s">
        <v>5984</v>
      </c>
      <c r="L404" s="8" t="str">
        <f>HYPERLINK("http://slimages.macys.com/is/image/MCY/14574276 ")</f>
        <v xml:space="preserve">http://slimages.macys.com/is/image/MCY/14574276 </v>
      </c>
    </row>
    <row r="405" spans="1:12" ht="24.75" x14ac:dyDescent="0.25">
      <c r="A405" s="6" t="s">
        <v>2549</v>
      </c>
      <c r="B405" s="3" t="s">
        <v>2550</v>
      </c>
      <c r="C405" s="4">
        <v>1</v>
      </c>
      <c r="D405" s="5">
        <v>24.99</v>
      </c>
      <c r="E405" s="4" t="s">
        <v>2551</v>
      </c>
      <c r="F405" s="3" t="s">
        <v>6275</v>
      </c>
      <c r="G405" s="7" t="s">
        <v>5562</v>
      </c>
      <c r="H405" s="3" t="s">
        <v>6003</v>
      </c>
      <c r="I405" s="3" t="s">
        <v>6004</v>
      </c>
      <c r="J405" s="3" t="s">
        <v>5536</v>
      </c>
      <c r="K405" s="3" t="s">
        <v>5594</v>
      </c>
      <c r="L405" s="8" t="str">
        <f>HYPERLINK("http://slimages.macys.com/is/image/MCY/14574844 ")</f>
        <v xml:space="preserve">http://slimages.macys.com/is/image/MCY/14574844 </v>
      </c>
    </row>
    <row r="406" spans="1:12" ht="24.75" x14ac:dyDescent="0.25">
      <c r="A406" s="6" t="s">
        <v>2552</v>
      </c>
      <c r="B406" s="3" t="s">
        <v>2553</v>
      </c>
      <c r="C406" s="4">
        <v>1</v>
      </c>
      <c r="D406" s="5">
        <v>20</v>
      </c>
      <c r="E406" s="4" t="s">
        <v>2554</v>
      </c>
      <c r="F406" s="3" t="s">
        <v>5540</v>
      </c>
      <c r="G406" s="7" t="s">
        <v>5560</v>
      </c>
      <c r="H406" s="3" t="s">
        <v>6492</v>
      </c>
      <c r="I406" s="3" t="s">
        <v>4427</v>
      </c>
      <c r="J406" s="3" t="s">
        <v>5536</v>
      </c>
      <c r="K406" s="3" t="s">
        <v>5549</v>
      </c>
      <c r="L406" s="8" t="str">
        <f>HYPERLINK("http://slimages.macys.com/is/image/MCY/13401626 ")</f>
        <v xml:space="preserve">http://slimages.macys.com/is/image/MCY/13401626 </v>
      </c>
    </row>
    <row r="407" spans="1:12" ht="24.75" x14ac:dyDescent="0.25">
      <c r="A407" s="6" t="s">
        <v>2555</v>
      </c>
      <c r="B407" s="3" t="s">
        <v>6770</v>
      </c>
      <c r="C407" s="4">
        <v>1</v>
      </c>
      <c r="D407" s="5">
        <v>16.25</v>
      </c>
      <c r="E407" s="4" t="s">
        <v>6778</v>
      </c>
      <c r="F407" s="3" t="s">
        <v>5640</v>
      </c>
      <c r="G407" s="7" t="s">
        <v>6772</v>
      </c>
      <c r="H407" s="3" t="s">
        <v>5842</v>
      </c>
      <c r="I407" s="3" t="s">
        <v>6773</v>
      </c>
      <c r="J407" s="3" t="s">
        <v>5536</v>
      </c>
      <c r="K407" s="3" t="s">
        <v>6774</v>
      </c>
      <c r="L407" s="8" t="str">
        <f>HYPERLINK("http://slimages.macys.com/is/image/MCY/14536305 ")</f>
        <v xml:space="preserve">http://slimages.macys.com/is/image/MCY/14536305 </v>
      </c>
    </row>
    <row r="408" spans="1:12" ht="24.75" x14ac:dyDescent="0.25">
      <c r="A408" s="6" t="s">
        <v>2556</v>
      </c>
      <c r="B408" s="3" t="s">
        <v>2557</v>
      </c>
      <c r="C408" s="4">
        <v>1</v>
      </c>
      <c r="D408" s="5">
        <v>16.989999999999998</v>
      </c>
      <c r="E408" s="4" t="s">
        <v>2558</v>
      </c>
      <c r="F408" s="3" t="s">
        <v>5540</v>
      </c>
      <c r="G408" s="7" t="s">
        <v>6776</v>
      </c>
      <c r="H408" s="3" t="s">
        <v>5842</v>
      </c>
      <c r="I408" s="3" t="s">
        <v>6773</v>
      </c>
      <c r="J408" s="3" t="s">
        <v>5536</v>
      </c>
      <c r="K408" s="3" t="s">
        <v>2512</v>
      </c>
      <c r="L408" s="8" t="str">
        <f>HYPERLINK("http://slimages.macys.com/is/image/MCY/10163519 ")</f>
        <v xml:space="preserve">http://slimages.macys.com/is/image/MCY/10163519 </v>
      </c>
    </row>
    <row r="409" spans="1:12" ht="48.75" x14ac:dyDescent="0.25">
      <c r="A409" s="6" t="s">
        <v>2559</v>
      </c>
      <c r="B409" s="3" t="s">
        <v>2560</v>
      </c>
      <c r="C409" s="4">
        <v>1</v>
      </c>
      <c r="D409" s="5">
        <v>24</v>
      </c>
      <c r="E409" s="4" t="s">
        <v>2561</v>
      </c>
      <c r="F409" s="3" t="s">
        <v>5593</v>
      </c>
      <c r="G409" s="7"/>
      <c r="H409" s="3" t="s">
        <v>6805</v>
      </c>
      <c r="I409" s="3" t="s">
        <v>2562</v>
      </c>
      <c r="J409" s="3" t="s">
        <v>5536</v>
      </c>
      <c r="K409" s="3" t="s">
        <v>2563</v>
      </c>
      <c r="L409" s="8" t="str">
        <f>HYPERLINK("http://slimages.macys.com/is/image/MCY/15385102 ")</f>
        <v xml:space="preserve">http://slimages.macys.com/is/image/MCY/15385102 </v>
      </c>
    </row>
    <row r="410" spans="1:12" ht="24.75" x14ac:dyDescent="0.25">
      <c r="A410" s="6" t="s">
        <v>2564</v>
      </c>
      <c r="B410" s="3" t="s">
        <v>2565</v>
      </c>
      <c r="C410" s="4">
        <v>1</v>
      </c>
      <c r="D410" s="5">
        <v>20</v>
      </c>
      <c r="E410" s="4" t="s">
        <v>2566</v>
      </c>
      <c r="F410" s="3" t="s">
        <v>5604</v>
      </c>
      <c r="G410" s="7" t="s">
        <v>5533</v>
      </c>
      <c r="H410" s="3" t="s">
        <v>6492</v>
      </c>
      <c r="I410" s="3" t="s">
        <v>6493</v>
      </c>
      <c r="J410" s="3" t="s">
        <v>5536</v>
      </c>
      <c r="K410" s="3" t="s">
        <v>5574</v>
      </c>
      <c r="L410" s="8" t="str">
        <f>HYPERLINK("http://slimages.macys.com/is/image/MCY/13581787 ")</f>
        <v xml:space="preserve">http://slimages.macys.com/is/image/MCY/13581787 </v>
      </c>
    </row>
    <row r="411" spans="1:12" ht="24.75" x14ac:dyDescent="0.25">
      <c r="A411" s="6" t="s">
        <v>2567</v>
      </c>
      <c r="B411" s="3" t="s">
        <v>2568</v>
      </c>
      <c r="C411" s="4">
        <v>1</v>
      </c>
      <c r="D411" s="5">
        <v>20</v>
      </c>
      <c r="E411" s="4">
        <v>100011598</v>
      </c>
      <c r="F411" s="3" t="s">
        <v>6983</v>
      </c>
      <c r="G411" s="7" t="s">
        <v>5598</v>
      </c>
      <c r="H411" s="3" t="s">
        <v>3941</v>
      </c>
      <c r="I411" s="3" t="s">
        <v>3942</v>
      </c>
      <c r="J411" s="3" t="s">
        <v>5536</v>
      </c>
      <c r="K411" s="3" t="s">
        <v>5727</v>
      </c>
      <c r="L411" s="8" t="str">
        <f>HYPERLINK("http://slimages.macys.com/is/image/MCY/9570726 ")</f>
        <v xml:space="preserve">http://slimages.macys.com/is/image/MCY/9570726 </v>
      </c>
    </row>
    <row r="412" spans="1:12" ht="24.75" x14ac:dyDescent="0.25">
      <c r="A412" s="6" t="s">
        <v>2569</v>
      </c>
      <c r="B412" s="3" t="s">
        <v>2568</v>
      </c>
      <c r="C412" s="4">
        <v>1</v>
      </c>
      <c r="D412" s="5">
        <v>20</v>
      </c>
      <c r="E412" s="4">
        <v>100011598</v>
      </c>
      <c r="F412" s="3" t="s">
        <v>2570</v>
      </c>
      <c r="G412" s="7" t="s">
        <v>5560</v>
      </c>
      <c r="H412" s="3" t="s">
        <v>3941</v>
      </c>
      <c r="I412" s="3" t="s">
        <v>3942</v>
      </c>
      <c r="J412" s="3" t="s">
        <v>5536</v>
      </c>
      <c r="K412" s="3" t="s">
        <v>5727</v>
      </c>
      <c r="L412" s="8" t="str">
        <f>HYPERLINK("http://slimages.macys.com/is/image/MCY/11784601 ")</f>
        <v xml:space="preserve">http://slimages.macys.com/is/image/MCY/11784601 </v>
      </c>
    </row>
    <row r="413" spans="1:12" ht="24.75" x14ac:dyDescent="0.25">
      <c r="A413" s="6" t="s">
        <v>6818</v>
      </c>
      <c r="B413" s="3" t="s">
        <v>6814</v>
      </c>
      <c r="C413" s="4">
        <v>2</v>
      </c>
      <c r="D413" s="5">
        <v>33.979999999999997</v>
      </c>
      <c r="E413" s="4" t="s">
        <v>6810</v>
      </c>
      <c r="F413" s="3" t="s">
        <v>5798</v>
      </c>
      <c r="G413" s="7" t="s">
        <v>6819</v>
      </c>
      <c r="H413" s="3" t="s">
        <v>5842</v>
      </c>
      <c r="I413" s="3" t="s">
        <v>6811</v>
      </c>
      <c r="J413" s="3" t="s">
        <v>5536</v>
      </c>
      <c r="K413" s="3" t="s">
        <v>6812</v>
      </c>
      <c r="L413" s="8" t="str">
        <f>HYPERLINK("http://slimages.macys.com/is/image/MCY/10454849 ")</f>
        <v xml:space="preserve">http://slimages.macys.com/is/image/MCY/10454849 </v>
      </c>
    </row>
    <row r="414" spans="1:12" ht="24.75" x14ac:dyDescent="0.25">
      <c r="A414" s="6" t="s">
        <v>2571</v>
      </c>
      <c r="B414" s="3" t="s">
        <v>2572</v>
      </c>
      <c r="C414" s="4">
        <v>1</v>
      </c>
      <c r="D414" s="5">
        <v>24</v>
      </c>
      <c r="E414" s="4">
        <v>100084673</v>
      </c>
      <c r="F414" s="3" t="s">
        <v>5532</v>
      </c>
      <c r="G414" s="7" t="s">
        <v>5562</v>
      </c>
      <c r="H414" s="3" t="s">
        <v>6019</v>
      </c>
      <c r="I414" s="3" t="s">
        <v>2573</v>
      </c>
      <c r="J414" s="3" t="s">
        <v>5536</v>
      </c>
      <c r="K414" s="3" t="s">
        <v>5574</v>
      </c>
      <c r="L414" s="8" t="str">
        <f>HYPERLINK("http://slimages.macys.com/is/image/MCY/16195885 ")</f>
        <v xml:space="preserve">http://slimages.macys.com/is/image/MCY/16195885 </v>
      </c>
    </row>
    <row r="415" spans="1:12" ht="24.75" x14ac:dyDescent="0.25">
      <c r="A415" s="6" t="s">
        <v>2574</v>
      </c>
      <c r="B415" s="3" t="s">
        <v>2572</v>
      </c>
      <c r="C415" s="4">
        <v>1</v>
      </c>
      <c r="D415" s="5">
        <v>24</v>
      </c>
      <c r="E415" s="4">
        <v>100084673</v>
      </c>
      <c r="F415" s="3" t="s">
        <v>5532</v>
      </c>
      <c r="G415" s="7" t="s">
        <v>5596</v>
      </c>
      <c r="H415" s="3" t="s">
        <v>6019</v>
      </c>
      <c r="I415" s="3" t="s">
        <v>2573</v>
      </c>
      <c r="J415" s="3" t="s">
        <v>5536</v>
      </c>
      <c r="K415" s="3" t="s">
        <v>5574</v>
      </c>
      <c r="L415" s="8" t="str">
        <f>HYPERLINK("http://slimages.macys.com/is/image/MCY/16195885 ")</f>
        <v xml:space="preserve">http://slimages.macys.com/is/image/MCY/16195885 </v>
      </c>
    </row>
    <row r="416" spans="1:12" ht="24.75" x14ac:dyDescent="0.25">
      <c r="A416" s="6" t="s">
        <v>2575</v>
      </c>
      <c r="B416" s="3" t="s">
        <v>2572</v>
      </c>
      <c r="C416" s="4">
        <v>1</v>
      </c>
      <c r="D416" s="5">
        <v>24</v>
      </c>
      <c r="E416" s="4">
        <v>100084673</v>
      </c>
      <c r="F416" s="3" t="s">
        <v>5532</v>
      </c>
      <c r="G416" s="7" t="s">
        <v>5598</v>
      </c>
      <c r="H416" s="3" t="s">
        <v>6019</v>
      </c>
      <c r="I416" s="3" t="s">
        <v>2573</v>
      </c>
      <c r="J416" s="3" t="s">
        <v>5536</v>
      </c>
      <c r="K416" s="3" t="s">
        <v>5574</v>
      </c>
      <c r="L416" s="8" t="str">
        <f>HYPERLINK("http://slimages.macys.com/is/image/MCY/16195885 ")</f>
        <v xml:space="preserve">http://slimages.macys.com/is/image/MCY/16195885 </v>
      </c>
    </row>
    <row r="417" spans="1:12" ht="24.75" x14ac:dyDescent="0.25">
      <c r="A417" s="6" t="s">
        <v>2576</v>
      </c>
      <c r="B417" s="3" t="s">
        <v>2577</v>
      </c>
      <c r="C417" s="4">
        <v>1</v>
      </c>
      <c r="D417" s="5">
        <v>12.99</v>
      </c>
      <c r="E417" s="4" t="s">
        <v>2578</v>
      </c>
      <c r="F417" s="3"/>
      <c r="G417" s="7"/>
      <c r="H417" s="3" t="s">
        <v>6805</v>
      </c>
      <c r="I417" s="3" t="s">
        <v>6824</v>
      </c>
      <c r="J417" s="3" t="s">
        <v>5536</v>
      </c>
      <c r="K417" s="3" t="s">
        <v>6825</v>
      </c>
      <c r="L417" s="8" t="str">
        <f>HYPERLINK("http://slimages.macys.com/is/image/MCY/14312119 ")</f>
        <v xml:space="preserve">http://slimages.macys.com/is/image/MCY/14312119 </v>
      </c>
    </row>
    <row r="418" spans="1:12" ht="24.75" x14ac:dyDescent="0.25">
      <c r="A418" s="6" t="s">
        <v>2579</v>
      </c>
      <c r="B418" s="3" t="s">
        <v>2580</v>
      </c>
      <c r="C418" s="4">
        <v>2</v>
      </c>
      <c r="D418" s="5">
        <v>25.98</v>
      </c>
      <c r="E418" s="4" t="s">
        <v>2581</v>
      </c>
      <c r="F418" s="3"/>
      <c r="G418" s="7"/>
      <c r="H418" s="3" t="s">
        <v>6805</v>
      </c>
      <c r="I418" s="3" t="s">
        <v>6824</v>
      </c>
      <c r="J418" s="3" t="s">
        <v>5536</v>
      </c>
      <c r="K418" s="3" t="s">
        <v>2582</v>
      </c>
      <c r="L418" s="8" t="str">
        <f>HYPERLINK("http://slimages.macys.com/is/image/MCY/10398722 ")</f>
        <v xml:space="preserve">http://slimages.macys.com/is/image/MCY/10398722 </v>
      </c>
    </row>
    <row r="419" spans="1:12" ht="24.75" x14ac:dyDescent="0.25">
      <c r="A419" s="6" t="s">
        <v>2583</v>
      </c>
      <c r="B419" s="3" t="s">
        <v>2584</v>
      </c>
      <c r="C419" s="4">
        <v>2</v>
      </c>
      <c r="D419" s="5">
        <v>48</v>
      </c>
      <c r="E419" s="4">
        <v>100084681</v>
      </c>
      <c r="F419" s="3" t="s">
        <v>5532</v>
      </c>
      <c r="G419" s="7" t="s">
        <v>5562</v>
      </c>
      <c r="H419" s="3" t="s">
        <v>6019</v>
      </c>
      <c r="I419" s="3" t="s">
        <v>2573</v>
      </c>
      <c r="J419" s="3" t="s">
        <v>5536</v>
      </c>
      <c r="K419" s="3" t="s">
        <v>5574</v>
      </c>
      <c r="L419" s="8" t="str">
        <f>HYPERLINK("http://slimages.macys.com/is/image/MCY/16195933 ")</f>
        <v xml:space="preserve">http://slimages.macys.com/is/image/MCY/16195933 </v>
      </c>
    </row>
    <row r="420" spans="1:12" ht="24.75" x14ac:dyDescent="0.25">
      <c r="A420" s="6" t="s">
        <v>2585</v>
      </c>
      <c r="B420" s="3" t="s">
        <v>2584</v>
      </c>
      <c r="C420" s="4">
        <v>1</v>
      </c>
      <c r="D420" s="5">
        <v>24</v>
      </c>
      <c r="E420" s="4">
        <v>100084681</v>
      </c>
      <c r="F420" s="3" t="s">
        <v>5532</v>
      </c>
      <c r="G420" s="7" t="s">
        <v>5596</v>
      </c>
      <c r="H420" s="3" t="s">
        <v>6019</v>
      </c>
      <c r="I420" s="3" t="s">
        <v>2573</v>
      </c>
      <c r="J420" s="3" t="s">
        <v>5536</v>
      </c>
      <c r="K420" s="3" t="s">
        <v>5574</v>
      </c>
      <c r="L420" s="8" t="str">
        <f>HYPERLINK("http://slimages.macys.com/is/image/MCY/16195933 ")</f>
        <v xml:space="preserve">http://slimages.macys.com/is/image/MCY/16195933 </v>
      </c>
    </row>
    <row r="421" spans="1:12" ht="36.75" x14ac:dyDescent="0.25">
      <c r="A421" s="6" t="s">
        <v>2586</v>
      </c>
      <c r="B421" s="3" t="s">
        <v>2587</v>
      </c>
      <c r="C421" s="4">
        <v>1</v>
      </c>
      <c r="D421" s="5">
        <v>24</v>
      </c>
      <c r="E421" s="4">
        <v>100084677</v>
      </c>
      <c r="F421" s="3" t="s">
        <v>5783</v>
      </c>
      <c r="G421" s="7" t="s">
        <v>5562</v>
      </c>
      <c r="H421" s="3" t="s">
        <v>6019</v>
      </c>
      <c r="I421" s="3" t="s">
        <v>2573</v>
      </c>
      <c r="J421" s="3" t="s">
        <v>5536</v>
      </c>
      <c r="K421" s="3" t="s">
        <v>2588</v>
      </c>
      <c r="L421" s="8" t="str">
        <f>HYPERLINK("http://slimages.macys.com/is/image/MCY/16195901 ")</f>
        <v xml:space="preserve">http://slimages.macys.com/is/image/MCY/16195901 </v>
      </c>
    </row>
    <row r="422" spans="1:12" ht="24.75" x14ac:dyDescent="0.25">
      <c r="A422" s="6" t="s">
        <v>2589</v>
      </c>
      <c r="B422" s="3" t="s">
        <v>2590</v>
      </c>
      <c r="C422" s="4">
        <v>1</v>
      </c>
      <c r="D422" s="5">
        <v>12.98</v>
      </c>
      <c r="E422" s="4" t="s">
        <v>2591</v>
      </c>
      <c r="F422" s="3" t="s">
        <v>5532</v>
      </c>
      <c r="G422" s="7" t="s">
        <v>5596</v>
      </c>
      <c r="H422" s="3" t="s">
        <v>6019</v>
      </c>
      <c r="I422" s="3" t="s">
        <v>6835</v>
      </c>
      <c r="J422" s="3" t="s">
        <v>5536</v>
      </c>
      <c r="K422" s="3" t="s">
        <v>5574</v>
      </c>
      <c r="L422" s="8" t="str">
        <f>HYPERLINK("http://slimages.macys.com/is/image/MCY/15241677 ")</f>
        <v xml:space="preserve">http://slimages.macys.com/is/image/MCY/15241677 </v>
      </c>
    </row>
    <row r="423" spans="1:12" ht="24.75" x14ac:dyDescent="0.25">
      <c r="A423" s="6" t="s">
        <v>2592</v>
      </c>
      <c r="B423" s="3" t="s">
        <v>6837</v>
      </c>
      <c r="C423" s="4">
        <v>1</v>
      </c>
      <c r="D423" s="5">
        <v>12.98</v>
      </c>
      <c r="E423" s="4" t="s">
        <v>6838</v>
      </c>
      <c r="F423" s="3" t="s">
        <v>5625</v>
      </c>
      <c r="G423" s="7" t="s">
        <v>5596</v>
      </c>
      <c r="H423" s="3" t="s">
        <v>6019</v>
      </c>
      <c r="I423" s="3" t="s">
        <v>6835</v>
      </c>
      <c r="J423" s="3" t="s">
        <v>5536</v>
      </c>
      <c r="K423" s="3" t="s">
        <v>5574</v>
      </c>
      <c r="L423" s="8" t="str">
        <f>HYPERLINK("http://slimages.macys.com/is/image/MCY/15241619 ")</f>
        <v xml:space="preserve">http://slimages.macys.com/is/image/MCY/15241619 </v>
      </c>
    </row>
    <row r="424" spans="1:12" ht="24.75" x14ac:dyDescent="0.25">
      <c r="A424" s="6" t="s">
        <v>2593</v>
      </c>
      <c r="B424" s="3" t="s">
        <v>2594</v>
      </c>
      <c r="C424" s="4">
        <v>1</v>
      </c>
      <c r="D424" s="5">
        <v>16</v>
      </c>
      <c r="E424" s="4" t="s">
        <v>2595</v>
      </c>
      <c r="F424" s="3" t="s">
        <v>5540</v>
      </c>
      <c r="G424" s="7" t="s">
        <v>5898</v>
      </c>
      <c r="H424" s="3" t="s">
        <v>4333</v>
      </c>
      <c r="I424" s="3" t="s">
        <v>2596</v>
      </c>
      <c r="J424" s="3" t="s">
        <v>5536</v>
      </c>
      <c r="K424" s="3" t="s">
        <v>5984</v>
      </c>
      <c r="L424" s="8" t="str">
        <f>HYPERLINK("http://slimages.macys.com/is/image/MCY/15718030 ")</f>
        <v xml:space="preserve">http://slimages.macys.com/is/image/MCY/15718030 </v>
      </c>
    </row>
    <row r="425" spans="1:12" x14ac:dyDescent="0.25">
      <c r="A425" s="6" t="s">
        <v>2597</v>
      </c>
      <c r="B425" s="3" t="s">
        <v>2598</v>
      </c>
      <c r="C425" s="4">
        <v>1</v>
      </c>
      <c r="D425" s="5">
        <v>19.989999999999998</v>
      </c>
      <c r="E425" s="4" t="s">
        <v>2599</v>
      </c>
      <c r="F425" s="3" t="s">
        <v>5540</v>
      </c>
      <c r="G425" s="7" t="s">
        <v>5562</v>
      </c>
      <c r="H425" s="3" t="s">
        <v>6065</v>
      </c>
      <c r="I425" s="3" t="s">
        <v>6066</v>
      </c>
      <c r="J425" s="3" t="s">
        <v>5536</v>
      </c>
      <c r="K425" s="3" t="s">
        <v>5574</v>
      </c>
      <c r="L425" s="8" t="str">
        <f>HYPERLINK("http://slimages.macys.com/is/image/MCY/8156872 ")</f>
        <v xml:space="preserve">http://slimages.macys.com/is/image/MCY/8156872 </v>
      </c>
    </row>
    <row r="426" spans="1:12" ht="24.75" x14ac:dyDescent="0.25">
      <c r="A426" s="6" t="s">
        <v>2600</v>
      </c>
      <c r="B426" s="3" t="s">
        <v>6866</v>
      </c>
      <c r="C426" s="4">
        <v>1</v>
      </c>
      <c r="D426" s="5">
        <v>14.99</v>
      </c>
      <c r="E426" s="4">
        <v>10006150200</v>
      </c>
      <c r="F426" s="3" t="s">
        <v>5552</v>
      </c>
      <c r="G426" s="7" t="s">
        <v>6252</v>
      </c>
      <c r="H426" s="3" t="s">
        <v>6652</v>
      </c>
      <c r="I426" s="3" t="s">
        <v>6653</v>
      </c>
      <c r="J426" s="3" t="s">
        <v>5536</v>
      </c>
      <c r="K426" s="3" t="s">
        <v>6303</v>
      </c>
      <c r="L426" s="8" t="str">
        <f>HYPERLINK("http://slimages.macys.com/is/image/MCY/12301955 ")</f>
        <v xml:space="preserve">http://slimages.macys.com/is/image/MCY/12301955 </v>
      </c>
    </row>
    <row r="427" spans="1:12" ht="24.75" x14ac:dyDescent="0.25">
      <c r="A427" s="6" t="s">
        <v>2601</v>
      </c>
      <c r="B427" s="3" t="s">
        <v>5195</v>
      </c>
      <c r="C427" s="4">
        <v>1</v>
      </c>
      <c r="D427" s="5">
        <v>11</v>
      </c>
      <c r="E427" s="4" t="s">
        <v>5196</v>
      </c>
      <c r="F427" s="3" t="s">
        <v>5803</v>
      </c>
      <c r="G427" s="7" t="s">
        <v>5898</v>
      </c>
      <c r="H427" s="3" t="s">
        <v>6515</v>
      </c>
      <c r="I427" s="3" t="s">
        <v>6066</v>
      </c>
      <c r="J427" s="3" t="s">
        <v>5536</v>
      </c>
      <c r="K427" s="3" t="s">
        <v>6642</v>
      </c>
      <c r="L427" s="8" t="str">
        <f>HYPERLINK("http://slimages.macys.com/is/image/MCY/14574321 ")</f>
        <v xml:space="preserve">http://slimages.macys.com/is/image/MCY/14574321 </v>
      </c>
    </row>
    <row r="428" spans="1:12" ht="36.75" x14ac:dyDescent="0.25">
      <c r="A428" s="6" t="s">
        <v>2602</v>
      </c>
      <c r="B428" s="3" t="s">
        <v>2603</v>
      </c>
      <c r="C428" s="4">
        <v>1</v>
      </c>
      <c r="D428" s="5">
        <v>14</v>
      </c>
      <c r="E428" s="4" t="s">
        <v>2604</v>
      </c>
      <c r="F428" s="3" t="s">
        <v>5783</v>
      </c>
      <c r="G428" s="7"/>
      <c r="H428" s="3" t="s">
        <v>6805</v>
      </c>
      <c r="I428" s="3" t="s">
        <v>6896</v>
      </c>
      <c r="J428" s="3" t="s">
        <v>5536</v>
      </c>
      <c r="K428" s="3" t="s">
        <v>6897</v>
      </c>
      <c r="L428" s="8" t="str">
        <f>HYPERLINK("http://slimages.macys.com/is/image/MCY/14575872 ")</f>
        <v xml:space="preserve">http://slimages.macys.com/is/image/MCY/14575872 </v>
      </c>
    </row>
    <row r="429" spans="1:12" ht="24.75" x14ac:dyDescent="0.25">
      <c r="A429" s="6" t="s">
        <v>5197</v>
      </c>
      <c r="B429" s="3" t="s">
        <v>5198</v>
      </c>
      <c r="C429" s="4">
        <v>3</v>
      </c>
      <c r="D429" s="5">
        <v>42</v>
      </c>
      <c r="E429" s="4" t="s">
        <v>5199</v>
      </c>
      <c r="F429" s="3" t="s">
        <v>5540</v>
      </c>
      <c r="G429" s="7" t="s">
        <v>5898</v>
      </c>
      <c r="H429" s="3" t="s">
        <v>6515</v>
      </c>
      <c r="I429" s="3" t="s">
        <v>6066</v>
      </c>
      <c r="J429" s="3" t="s">
        <v>5536</v>
      </c>
      <c r="K429" s="3" t="s">
        <v>5984</v>
      </c>
      <c r="L429" s="8" t="str">
        <f>HYPERLINK("http://slimages.macys.com/is/image/MCY/14574354 ")</f>
        <v xml:space="preserve">http://slimages.macys.com/is/image/MCY/14574354 </v>
      </c>
    </row>
    <row r="430" spans="1:12" ht="24.75" x14ac:dyDescent="0.25">
      <c r="A430" s="6" t="s">
        <v>2605</v>
      </c>
      <c r="B430" s="3" t="s">
        <v>6902</v>
      </c>
      <c r="C430" s="4">
        <v>6</v>
      </c>
      <c r="D430" s="5">
        <v>84</v>
      </c>
      <c r="E430" s="4" t="s">
        <v>6903</v>
      </c>
      <c r="F430" s="3" t="s">
        <v>5532</v>
      </c>
      <c r="G430" s="7" t="s">
        <v>5898</v>
      </c>
      <c r="H430" s="3" t="s">
        <v>6515</v>
      </c>
      <c r="I430" s="3" t="s">
        <v>6066</v>
      </c>
      <c r="J430" s="3" t="s">
        <v>5536</v>
      </c>
      <c r="K430" s="3" t="s">
        <v>5984</v>
      </c>
      <c r="L430" s="8" t="str">
        <f>HYPERLINK("http://slimages.macys.com/is/image/MCY/8853222 ")</f>
        <v xml:space="preserve">http://slimages.macys.com/is/image/MCY/8853222 </v>
      </c>
    </row>
    <row r="431" spans="1:12" ht="24.75" x14ac:dyDescent="0.25">
      <c r="A431" s="6" t="s">
        <v>5200</v>
      </c>
      <c r="B431" s="3" t="s">
        <v>6902</v>
      </c>
      <c r="C431" s="4">
        <v>4</v>
      </c>
      <c r="D431" s="5">
        <v>56</v>
      </c>
      <c r="E431" s="4" t="s">
        <v>6903</v>
      </c>
      <c r="F431" s="3" t="s">
        <v>5540</v>
      </c>
      <c r="G431" s="7" t="s">
        <v>5898</v>
      </c>
      <c r="H431" s="3" t="s">
        <v>6515</v>
      </c>
      <c r="I431" s="3" t="s">
        <v>6066</v>
      </c>
      <c r="J431" s="3" t="s">
        <v>5536</v>
      </c>
      <c r="K431" s="3" t="s">
        <v>5984</v>
      </c>
      <c r="L431" s="8" t="str">
        <f>HYPERLINK("http://slimages.macys.com/is/image/MCY/8853222 ")</f>
        <v xml:space="preserve">http://slimages.macys.com/is/image/MCY/8853222 </v>
      </c>
    </row>
    <row r="432" spans="1:12" ht="24.75" x14ac:dyDescent="0.25">
      <c r="A432" s="6" t="s">
        <v>6901</v>
      </c>
      <c r="B432" s="3" t="s">
        <v>6902</v>
      </c>
      <c r="C432" s="4">
        <v>8</v>
      </c>
      <c r="D432" s="5">
        <v>112</v>
      </c>
      <c r="E432" s="4" t="s">
        <v>6903</v>
      </c>
      <c r="F432" s="3" t="s">
        <v>5803</v>
      </c>
      <c r="G432" s="7" t="s">
        <v>5898</v>
      </c>
      <c r="H432" s="3" t="s">
        <v>6515</v>
      </c>
      <c r="I432" s="3" t="s">
        <v>6066</v>
      </c>
      <c r="J432" s="3" t="s">
        <v>5536</v>
      </c>
      <c r="K432" s="3" t="s">
        <v>5984</v>
      </c>
      <c r="L432" s="8" t="str">
        <f>HYPERLINK("http://slimages.macys.com/is/image/MCY/8853222 ")</f>
        <v xml:space="preserve">http://slimages.macys.com/is/image/MCY/8853222 </v>
      </c>
    </row>
    <row r="433" spans="1:12" ht="24.75" x14ac:dyDescent="0.25">
      <c r="A433" s="6" t="s">
        <v>5201</v>
      </c>
      <c r="B433" s="3" t="s">
        <v>5198</v>
      </c>
      <c r="C433" s="4">
        <v>1</v>
      </c>
      <c r="D433" s="5">
        <v>14</v>
      </c>
      <c r="E433" s="4" t="s">
        <v>5199</v>
      </c>
      <c r="F433" s="3" t="s">
        <v>5532</v>
      </c>
      <c r="G433" s="7" t="s">
        <v>5898</v>
      </c>
      <c r="H433" s="3" t="s">
        <v>6515</v>
      </c>
      <c r="I433" s="3" t="s">
        <v>6066</v>
      </c>
      <c r="J433" s="3" t="s">
        <v>5536</v>
      </c>
      <c r="K433" s="3" t="s">
        <v>5984</v>
      </c>
      <c r="L433" s="8" t="str">
        <f>HYPERLINK("http://slimages.macys.com/is/image/MCY/14574354 ")</f>
        <v xml:space="preserve">http://slimages.macys.com/is/image/MCY/14574354 </v>
      </c>
    </row>
    <row r="434" spans="1:12" ht="24.75" x14ac:dyDescent="0.25">
      <c r="A434" s="6" t="s">
        <v>2606</v>
      </c>
      <c r="B434" s="3" t="s">
        <v>2607</v>
      </c>
      <c r="C434" s="4">
        <v>1</v>
      </c>
      <c r="D434" s="5">
        <v>20</v>
      </c>
      <c r="E434" s="4" t="s">
        <v>2608</v>
      </c>
      <c r="F434" s="3" t="s">
        <v>5532</v>
      </c>
      <c r="G434" s="7" t="s">
        <v>5562</v>
      </c>
      <c r="H434" s="3" t="s">
        <v>6492</v>
      </c>
      <c r="I434" s="3" t="s">
        <v>6493</v>
      </c>
      <c r="J434" s="3" t="s">
        <v>5536</v>
      </c>
      <c r="K434" s="3" t="s">
        <v>5574</v>
      </c>
      <c r="L434" s="8" t="str">
        <f>HYPERLINK("http://slimages.macys.com/is/image/MCY/13586161 ")</f>
        <v xml:space="preserve">http://slimages.macys.com/is/image/MCY/13586161 </v>
      </c>
    </row>
    <row r="435" spans="1:12" ht="24.75" x14ac:dyDescent="0.25">
      <c r="A435" s="6" t="s">
        <v>5202</v>
      </c>
      <c r="B435" s="3" t="s">
        <v>5203</v>
      </c>
      <c r="C435" s="4">
        <v>2</v>
      </c>
      <c r="D435" s="5">
        <v>22</v>
      </c>
      <c r="E435" s="4" t="s">
        <v>5204</v>
      </c>
      <c r="F435" s="3" t="s">
        <v>5540</v>
      </c>
      <c r="G435" s="7" t="s">
        <v>5898</v>
      </c>
      <c r="H435" s="3" t="s">
        <v>6515</v>
      </c>
      <c r="I435" s="3" t="s">
        <v>6066</v>
      </c>
      <c r="J435" s="3" t="s">
        <v>5536</v>
      </c>
      <c r="K435" s="3" t="s">
        <v>5984</v>
      </c>
      <c r="L435" s="8" t="str">
        <f>HYPERLINK("http://slimages.macys.com/is/image/MCY/14574876 ")</f>
        <v xml:space="preserve">http://slimages.macys.com/is/image/MCY/14574876 </v>
      </c>
    </row>
    <row r="436" spans="1:12" ht="24.75" x14ac:dyDescent="0.25">
      <c r="A436" s="6" t="s">
        <v>6909</v>
      </c>
      <c r="B436" s="3" t="s">
        <v>6910</v>
      </c>
      <c r="C436" s="4">
        <v>2</v>
      </c>
      <c r="D436" s="5">
        <v>28</v>
      </c>
      <c r="E436" s="4" t="s">
        <v>6911</v>
      </c>
      <c r="F436" s="3" t="s">
        <v>5661</v>
      </c>
      <c r="G436" s="7" t="s">
        <v>5898</v>
      </c>
      <c r="H436" s="3" t="s">
        <v>6515</v>
      </c>
      <c r="I436" s="3" t="s">
        <v>6066</v>
      </c>
      <c r="J436" s="3" t="s">
        <v>5536</v>
      </c>
      <c r="K436" s="3" t="s">
        <v>5727</v>
      </c>
      <c r="L436" s="8" t="str">
        <f>HYPERLINK("http://slimages.macys.com/is/image/MCY/14574194 ")</f>
        <v xml:space="preserve">http://slimages.macys.com/is/image/MCY/14574194 </v>
      </c>
    </row>
    <row r="437" spans="1:12" ht="36.75" x14ac:dyDescent="0.25">
      <c r="A437" s="6" t="s">
        <v>2609</v>
      </c>
      <c r="B437" s="3" t="s">
        <v>6916</v>
      </c>
      <c r="C437" s="4">
        <v>1</v>
      </c>
      <c r="D437" s="5">
        <v>9.99</v>
      </c>
      <c r="E437" s="4" t="s">
        <v>6917</v>
      </c>
      <c r="F437" s="3" t="s">
        <v>5977</v>
      </c>
      <c r="G437" s="7" t="s">
        <v>5598</v>
      </c>
      <c r="H437" s="3" t="s">
        <v>6430</v>
      </c>
      <c r="I437" s="3" t="s">
        <v>6431</v>
      </c>
      <c r="J437" s="3" t="s">
        <v>5536</v>
      </c>
      <c r="K437" s="3" t="s">
        <v>5574</v>
      </c>
      <c r="L437" s="8" t="str">
        <f>HYPERLINK("http://slimages.macys.com/is/image/MCY/15509348 ")</f>
        <v xml:space="preserve">http://slimages.macys.com/is/image/MCY/15509348 </v>
      </c>
    </row>
    <row r="438" spans="1:12" ht="36.75" x14ac:dyDescent="0.25">
      <c r="A438" s="6" t="s">
        <v>6923</v>
      </c>
      <c r="B438" s="3" t="s">
        <v>6913</v>
      </c>
      <c r="C438" s="4">
        <v>3</v>
      </c>
      <c r="D438" s="5">
        <v>29.97</v>
      </c>
      <c r="E438" s="4" t="s">
        <v>6914</v>
      </c>
      <c r="F438" s="3" t="s">
        <v>5540</v>
      </c>
      <c r="G438" s="7" t="s">
        <v>5562</v>
      </c>
      <c r="H438" s="3" t="s">
        <v>6430</v>
      </c>
      <c r="I438" s="3" t="s">
        <v>6431</v>
      </c>
      <c r="J438" s="3" t="s">
        <v>5536</v>
      </c>
      <c r="K438" s="3" t="s">
        <v>5574</v>
      </c>
      <c r="L438" s="8" t="str">
        <f>HYPERLINK("http://slimages.macys.com/is/image/MCY/15550079 ")</f>
        <v xml:space="preserve">http://slimages.macys.com/is/image/MCY/15550079 </v>
      </c>
    </row>
    <row r="439" spans="1:12" ht="36.75" x14ac:dyDescent="0.25">
      <c r="A439" s="6" t="s">
        <v>6919</v>
      </c>
      <c r="B439" s="3" t="s">
        <v>6913</v>
      </c>
      <c r="C439" s="4">
        <v>3</v>
      </c>
      <c r="D439" s="5">
        <v>29.97</v>
      </c>
      <c r="E439" s="4" t="s">
        <v>6914</v>
      </c>
      <c r="F439" s="3" t="s">
        <v>5540</v>
      </c>
      <c r="G439" s="7" t="s">
        <v>5533</v>
      </c>
      <c r="H439" s="3" t="s">
        <v>6430</v>
      </c>
      <c r="I439" s="3" t="s">
        <v>6431</v>
      </c>
      <c r="J439" s="3" t="s">
        <v>5536</v>
      </c>
      <c r="K439" s="3" t="s">
        <v>5574</v>
      </c>
      <c r="L439" s="8" t="str">
        <f>HYPERLINK("http://slimages.macys.com/is/image/MCY/15550079 ")</f>
        <v xml:space="preserve">http://slimages.macys.com/is/image/MCY/15550079 </v>
      </c>
    </row>
    <row r="440" spans="1:12" ht="36.75" x14ac:dyDescent="0.25">
      <c r="A440" s="6" t="s">
        <v>6918</v>
      </c>
      <c r="B440" s="3" t="s">
        <v>6913</v>
      </c>
      <c r="C440" s="4">
        <v>6</v>
      </c>
      <c r="D440" s="5">
        <v>59.94</v>
      </c>
      <c r="E440" s="4" t="s">
        <v>6914</v>
      </c>
      <c r="F440" s="3" t="s">
        <v>5540</v>
      </c>
      <c r="G440" s="7" t="s">
        <v>5596</v>
      </c>
      <c r="H440" s="3" t="s">
        <v>6430</v>
      </c>
      <c r="I440" s="3" t="s">
        <v>6431</v>
      </c>
      <c r="J440" s="3" t="s">
        <v>5536</v>
      </c>
      <c r="K440" s="3" t="s">
        <v>5574</v>
      </c>
      <c r="L440" s="8" t="str">
        <f>HYPERLINK("http://slimages.macys.com/is/image/MCY/15550079 ")</f>
        <v xml:space="preserve">http://slimages.macys.com/is/image/MCY/15550079 </v>
      </c>
    </row>
    <row r="441" spans="1:12" ht="36.75" x14ac:dyDescent="0.25">
      <c r="A441" s="6" t="s">
        <v>6922</v>
      </c>
      <c r="B441" s="3" t="s">
        <v>6916</v>
      </c>
      <c r="C441" s="4">
        <v>3</v>
      </c>
      <c r="D441" s="5">
        <v>29.97</v>
      </c>
      <c r="E441" s="4" t="s">
        <v>6917</v>
      </c>
      <c r="F441" s="3" t="s">
        <v>5540</v>
      </c>
      <c r="G441" s="7" t="s">
        <v>5533</v>
      </c>
      <c r="H441" s="3" t="s">
        <v>6430</v>
      </c>
      <c r="I441" s="3" t="s">
        <v>6431</v>
      </c>
      <c r="J441" s="3" t="s">
        <v>5536</v>
      </c>
      <c r="K441" s="3" t="s">
        <v>5574</v>
      </c>
      <c r="L441" s="8" t="str">
        <f>HYPERLINK("http://slimages.macys.com/is/image/MCY/15509348 ")</f>
        <v xml:space="preserve">http://slimages.macys.com/is/image/MCY/15509348 </v>
      </c>
    </row>
    <row r="442" spans="1:12" ht="36.75" x14ac:dyDescent="0.25">
      <c r="A442" s="6" t="s">
        <v>6912</v>
      </c>
      <c r="B442" s="3" t="s">
        <v>6913</v>
      </c>
      <c r="C442" s="4">
        <v>7</v>
      </c>
      <c r="D442" s="5">
        <v>69.930000000000007</v>
      </c>
      <c r="E442" s="4" t="s">
        <v>6914</v>
      </c>
      <c r="F442" s="3" t="s">
        <v>5977</v>
      </c>
      <c r="G442" s="7" t="s">
        <v>5533</v>
      </c>
      <c r="H442" s="3" t="s">
        <v>6430</v>
      </c>
      <c r="I442" s="3" t="s">
        <v>6431</v>
      </c>
      <c r="J442" s="3" t="s">
        <v>5536</v>
      </c>
      <c r="K442" s="3" t="s">
        <v>5574</v>
      </c>
      <c r="L442" s="8" t="str">
        <f>HYPERLINK("http://slimages.macys.com/is/image/MCY/15550079 ")</f>
        <v xml:space="preserve">http://slimages.macys.com/is/image/MCY/15550079 </v>
      </c>
    </row>
    <row r="443" spans="1:12" ht="24.75" x14ac:dyDescent="0.25">
      <c r="A443" s="6" t="s">
        <v>5206</v>
      </c>
      <c r="B443" s="3" t="s">
        <v>6936</v>
      </c>
      <c r="C443" s="4">
        <v>1</v>
      </c>
      <c r="D443" s="5">
        <v>11</v>
      </c>
      <c r="E443" s="4" t="s">
        <v>6937</v>
      </c>
      <c r="F443" s="3" t="s">
        <v>5540</v>
      </c>
      <c r="G443" s="7" t="s">
        <v>5898</v>
      </c>
      <c r="H443" s="3" t="s">
        <v>6515</v>
      </c>
      <c r="I443" s="3" t="s">
        <v>6066</v>
      </c>
      <c r="J443" s="3" t="s">
        <v>5536</v>
      </c>
      <c r="K443" s="3" t="s">
        <v>5984</v>
      </c>
      <c r="L443" s="8" t="str">
        <f>HYPERLINK("http://slimages.macys.com/is/image/MCY/14574814 ")</f>
        <v xml:space="preserve">http://slimages.macys.com/is/image/MCY/14574814 </v>
      </c>
    </row>
    <row r="444" spans="1:12" ht="24.75" x14ac:dyDescent="0.25">
      <c r="A444" s="6" t="s">
        <v>5207</v>
      </c>
      <c r="B444" s="3" t="s">
        <v>6936</v>
      </c>
      <c r="C444" s="4">
        <v>2</v>
      </c>
      <c r="D444" s="5">
        <v>22</v>
      </c>
      <c r="E444" s="4" t="s">
        <v>6937</v>
      </c>
      <c r="F444" s="3" t="s">
        <v>5532</v>
      </c>
      <c r="G444" s="7" t="s">
        <v>5898</v>
      </c>
      <c r="H444" s="3" t="s">
        <v>6515</v>
      </c>
      <c r="I444" s="3" t="s">
        <v>6066</v>
      </c>
      <c r="J444" s="3" t="s">
        <v>5536</v>
      </c>
      <c r="K444" s="3" t="s">
        <v>5984</v>
      </c>
      <c r="L444" s="8" t="str">
        <f>HYPERLINK("http://slimages.macys.com/is/image/MCY/14574814 ")</f>
        <v xml:space="preserve">http://slimages.macys.com/is/image/MCY/14574814 </v>
      </c>
    </row>
    <row r="445" spans="1:12" ht="24.75" x14ac:dyDescent="0.25">
      <c r="A445" s="6" t="s">
        <v>6935</v>
      </c>
      <c r="B445" s="3" t="s">
        <v>6936</v>
      </c>
      <c r="C445" s="4">
        <v>4</v>
      </c>
      <c r="D445" s="5">
        <v>44</v>
      </c>
      <c r="E445" s="4" t="s">
        <v>6937</v>
      </c>
      <c r="F445" s="3" t="s">
        <v>5803</v>
      </c>
      <c r="G445" s="7" t="s">
        <v>5898</v>
      </c>
      <c r="H445" s="3" t="s">
        <v>6515</v>
      </c>
      <c r="I445" s="3" t="s">
        <v>6066</v>
      </c>
      <c r="J445" s="3" t="s">
        <v>5536</v>
      </c>
      <c r="K445" s="3" t="s">
        <v>5984</v>
      </c>
      <c r="L445" s="8" t="str">
        <f>HYPERLINK("http://slimages.macys.com/is/image/MCY/14574814 ")</f>
        <v xml:space="preserve">http://slimages.macys.com/is/image/MCY/14574814 </v>
      </c>
    </row>
    <row r="446" spans="1:12" ht="24.75" x14ac:dyDescent="0.25">
      <c r="A446" s="6" t="s">
        <v>6942</v>
      </c>
      <c r="B446" s="3" t="s">
        <v>6939</v>
      </c>
      <c r="C446" s="4">
        <v>4</v>
      </c>
      <c r="D446" s="5">
        <v>44</v>
      </c>
      <c r="E446" s="4" t="s">
        <v>6940</v>
      </c>
      <c r="F446" s="3" t="s">
        <v>5540</v>
      </c>
      <c r="G446" s="7" t="s">
        <v>5898</v>
      </c>
      <c r="H446" s="3" t="s">
        <v>6515</v>
      </c>
      <c r="I446" s="3" t="s">
        <v>6066</v>
      </c>
      <c r="J446" s="3" t="s">
        <v>5536</v>
      </c>
      <c r="K446" s="3" t="s">
        <v>6941</v>
      </c>
      <c r="L446" s="8" t="str">
        <f>HYPERLINK("http://slimages.macys.com/is/image/MCY/8853210 ")</f>
        <v xml:space="preserve">http://slimages.macys.com/is/image/MCY/8853210 </v>
      </c>
    </row>
    <row r="447" spans="1:12" x14ac:dyDescent="0.25">
      <c r="A447" s="6" t="s">
        <v>2610</v>
      </c>
      <c r="B447" s="3" t="s">
        <v>2611</v>
      </c>
      <c r="C447" s="4">
        <v>2</v>
      </c>
      <c r="D447" s="5">
        <v>25.98</v>
      </c>
      <c r="E447" s="4">
        <v>100008411</v>
      </c>
      <c r="F447" s="3" t="s">
        <v>5540</v>
      </c>
      <c r="G447" s="7" t="s">
        <v>5562</v>
      </c>
      <c r="H447" s="3" t="s">
        <v>6003</v>
      </c>
      <c r="I447" s="3" t="s">
        <v>6004</v>
      </c>
      <c r="J447" s="3" t="s">
        <v>5536</v>
      </c>
      <c r="K447" s="3" t="s">
        <v>5594</v>
      </c>
      <c r="L447" s="8" t="str">
        <f>HYPERLINK("http://slimages.macys.com/is/image/MCY/11688867 ")</f>
        <v xml:space="preserve">http://slimages.macys.com/is/image/MCY/11688867 </v>
      </c>
    </row>
    <row r="448" spans="1:12" ht="24.75" x14ac:dyDescent="0.25">
      <c r="A448" s="6" t="s">
        <v>6946</v>
      </c>
      <c r="B448" s="3" t="s">
        <v>6947</v>
      </c>
      <c r="C448" s="4">
        <v>10</v>
      </c>
      <c r="D448" s="5">
        <v>60</v>
      </c>
      <c r="E448" s="4" t="s">
        <v>6948</v>
      </c>
      <c r="F448" s="3" t="s">
        <v>5532</v>
      </c>
      <c r="G448" s="7" t="s">
        <v>5898</v>
      </c>
      <c r="H448" s="3" t="s">
        <v>6632</v>
      </c>
      <c r="I448" s="3" t="s">
        <v>6633</v>
      </c>
      <c r="J448" s="3" t="s">
        <v>5536</v>
      </c>
      <c r="K448" s="3" t="s">
        <v>6634</v>
      </c>
      <c r="L448" s="8" t="str">
        <f>HYPERLINK("http://slimages.macys.com/is/image/MCY/14346677 ")</f>
        <v xml:space="preserve">http://slimages.macys.com/is/image/MCY/14346677 </v>
      </c>
    </row>
    <row r="449" spans="1:12" ht="24.75" x14ac:dyDescent="0.25">
      <c r="A449" s="6" t="s">
        <v>2612</v>
      </c>
      <c r="B449" s="3" t="s">
        <v>2613</v>
      </c>
      <c r="C449" s="4">
        <v>2</v>
      </c>
      <c r="D449" s="5">
        <v>12</v>
      </c>
      <c r="E449" s="4" t="s">
        <v>2614</v>
      </c>
      <c r="F449" s="3" t="s">
        <v>5540</v>
      </c>
      <c r="G449" s="7" t="s">
        <v>5898</v>
      </c>
      <c r="H449" s="3" t="s">
        <v>6632</v>
      </c>
      <c r="I449" s="3" t="s">
        <v>6633</v>
      </c>
      <c r="J449" s="3" t="s">
        <v>5536</v>
      </c>
      <c r="K449" s="3" t="s">
        <v>6634</v>
      </c>
      <c r="L449" s="8" t="str">
        <f>HYPERLINK("http://slimages.macys.com/is/image/MCY/14346524 ")</f>
        <v xml:space="preserve">http://slimages.macys.com/is/image/MCY/14346524 </v>
      </c>
    </row>
    <row r="450" spans="1:12" ht="24.75" x14ac:dyDescent="0.25">
      <c r="A450" s="6" t="s">
        <v>6949</v>
      </c>
      <c r="B450" s="3" t="s">
        <v>6950</v>
      </c>
      <c r="C450" s="4">
        <v>1</v>
      </c>
      <c r="D450" s="5">
        <v>6</v>
      </c>
      <c r="E450" s="4" t="s">
        <v>6951</v>
      </c>
      <c r="F450" s="3" t="s">
        <v>5532</v>
      </c>
      <c r="G450" s="7" t="s">
        <v>5898</v>
      </c>
      <c r="H450" s="3" t="s">
        <v>6632</v>
      </c>
      <c r="I450" s="3" t="s">
        <v>6633</v>
      </c>
      <c r="J450" s="3" t="s">
        <v>5536</v>
      </c>
      <c r="K450" s="3" t="s">
        <v>6952</v>
      </c>
      <c r="L450" s="8" t="str">
        <f>HYPERLINK("http://slimages.macys.com/is/image/MCY/14346687 ")</f>
        <v xml:space="preserve">http://slimages.macys.com/is/image/MCY/14346687 </v>
      </c>
    </row>
    <row r="451" spans="1:12" ht="24.75" x14ac:dyDescent="0.25">
      <c r="A451" s="6" t="s">
        <v>2615</v>
      </c>
      <c r="B451" s="3" t="s">
        <v>2616</v>
      </c>
      <c r="C451" s="4">
        <v>3</v>
      </c>
      <c r="D451" s="5">
        <v>18</v>
      </c>
      <c r="E451" s="4" t="s">
        <v>2617</v>
      </c>
      <c r="F451" s="3" t="s">
        <v>6335</v>
      </c>
      <c r="G451" s="7" t="s">
        <v>5898</v>
      </c>
      <c r="H451" s="3" t="s">
        <v>6632</v>
      </c>
      <c r="I451" s="3" t="s">
        <v>6633</v>
      </c>
      <c r="J451" s="3" t="s">
        <v>5536</v>
      </c>
      <c r="K451" s="3" t="s">
        <v>6634</v>
      </c>
      <c r="L451" s="8" t="str">
        <f>HYPERLINK("http://slimages.macys.com/is/image/MCY/14346612 ")</f>
        <v xml:space="preserve">http://slimages.macys.com/is/image/MCY/14346612 </v>
      </c>
    </row>
    <row r="452" spans="1:12" ht="24.75" x14ac:dyDescent="0.25">
      <c r="A452" s="6" t="s">
        <v>6956</v>
      </c>
      <c r="B452" s="3" t="s">
        <v>6957</v>
      </c>
      <c r="C452" s="4">
        <v>5</v>
      </c>
      <c r="D452" s="5">
        <v>30</v>
      </c>
      <c r="E452" s="4" t="s">
        <v>6958</v>
      </c>
      <c r="F452" s="3" t="s">
        <v>5540</v>
      </c>
      <c r="G452" s="7" t="s">
        <v>5898</v>
      </c>
      <c r="H452" s="3" t="s">
        <v>6632</v>
      </c>
      <c r="I452" s="3" t="s">
        <v>6633</v>
      </c>
      <c r="J452" s="3" t="s">
        <v>5536</v>
      </c>
      <c r="K452" s="3" t="s">
        <v>6634</v>
      </c>
      <c r="L452" s="8" t="str">
        <f>HYPERLINK("http://slimages.macys.com/is/image/MCY/10787972 ")</f>
        <v xml:space="preserve">http://slimages.macys.com/is/image/MCY/10787972 </v>
      </c>
    </row>
    <row r="453" spans="1:12" ht="24.75" x14ac:dyDescent="0.25">
      <c r="A453" s="6" t="s">
        <v>2618</v>
      </c>
      <c r="B453" s="3" t="s">
        <v>2619</v>
      </c>
      <c r="C453" s="4">
        <v>2</v>
      </c>
      <c r="D453" s="5">
        <v>12</v>
      </c>
      <c r="E453" s="4" t="s">
        <v>2620</v>
      </c>
      <c r="F453" s="3" t="s">
        <v>5604</v>
      </c>
      <c r="G453" s="7" t="s">
        <v>5898</v>
      </c>
      <c r="H453" s="3" t="s">
        <v>6632</v>
      </c>
      <c r="I453" s="3" t="s">
        <v>6633</v>
      </c>
      <c r="J453" s="3" t="s">
        <v>5536</v>
      </c>
      <c r="K453" s="3" t="s">
        <v>6634</v>
      </c>
      <c r="L453" s="8" t="str">
        <f>HYPERLINK("http://slimages.macys.com/is/image/MCY/14346681 ")</f>
        <v xml:space="preserve">http://slimages.macys.com/is/image/MCY/14346681 </v>
      </c>
    </row>
    <row r="454" spans="1:12" ht="24.75" x14ac:dyDescent="0.25">
      <c r="A454" s="6" t="s">
        <v>2621</v>
      </c>
      <c r="B454" s="3" t="s">
        <v>6957</v>
      </c>
      <c r="C454" s="4">
        <v>6</v>
      </c>
      <c r="D454" s="5">
        <v>36</v>
      </c>
      <c r="E454" s="4" t="s">
        <v>6958</v>
      </c>
      <c r="F454" s="3" t="s">
        <v>5532</v>
      </c>
      <c r="G454" s="7" t="s">
        <v>5898</v>
      </c>
      <c r="H454" s="3" t="s">
        <v>6632</v>
      </c>
      <c r="I454" s="3" t="s">
        <v>6633</v>
      </c>
      <c r="J454" s="3" t="s">
        <v>5536</v>
      </c>
      <c r="K454" s="3" t="s">
        <v>6634</v>
      </c>
      <c r="L454" s="8" t="str">
        <f>HYPERLINK("http://slimages.macys.com/is/image/MCY/10787972 ")</f>
        <v xml:space="preserve">http://slimages.macys.com/is/image/MCY/10787972 </v>
      </c>
    </row>
    <row r="455" spans="1:12" ht="48.75" x14ac:dyDescent="0.25">
      <c r="A455" s="6" t="s">
        <v>6959</v>
      </c>
      <c r="B455" s="3" t="s">
        <v>6960</v>
      </c>
      <c r="C455" s="4">
        <v>2</v>
      </c>
      <c r="D455" s="5">
        <v>12</v>
      </c>
      <c r="E455" s="4" t="s">
        <v>6961</v>
      </c>
      <c r="F455" s="3" t="s">
        <v>5604</v>
      </c>
      <c r="G455" s="7" t="s">
        <v>5898</v>
      </c>
      <c r="H455" s="3" t="s">
        <v>6632</v>
      </c>
      <c r="I455" s="3" t="s">
        <v>6633</v>
      </c>
      <c r="J455" s="3" t="s">
        <v>5536</v>
      </c>
      <c r="K455" s="3" t="s">
        <v>6962</v>
      </c>
      <c r="L455" s="8" t="str">
        <f>HYPERLINK("http://slimages.macys.com/is/image/MCY/15668439 ")</f>
        <v xml:space="preserve">http://slimages.macys.com/is/image/MCY/15668439 </v>
      </c>
    </row>
    <row r="456" spans="1:12" ht="24.75" x14ac:dyDescent="0.25">
      <c r="A456" s="6" t="s">
        <v>2622</v>
      </c>
      <c r="B456" s="3" t="s">
        <v>2623</v>
      </c>
      <c r="C456" s="4">
        <v>3</v>
      </c>
      <c r="D456" s="5">
        <v>18</v>
      </c>
      <c r="E456" s="4" t="s">
        <v>2624</v>
      </c>
      <c r="F456" s="3" t="s">
        <v>5532</v>
      </c>
      <c r="G456" s="7" t="s">
        <v>5898</v>
      </c>
      <c r="H456" s="3" t="s">
        <v>6632</v>
      </c>
      <c r="I456" s="3" t="s">
        <v>6633</v>
      </c>
      <c r="J456" s="3" t="s">
        <v>5536</v>
      </c>
      <c r="K456" s="3" t="s">
        <v>6634</v>
      </c>
      <c r="L456" s="8" t="str">
        <f>HYPERLINK("http://slimages.macys.com/is/image/MCY/11533652 ")</f>
        <v xml:space="preserve">http://slimages.macys.com/is/image/MCY/11533652 </v>
      </c>
    </row>
    <row r="457" spans="1:12" ht="24.75" x14ac:dyDescent="0.25">
      <c r="A457" s="6" t="s">
        <v>6991</v>
      </c>
      <c r="B457" s="3" t="s">
        <v>6992</v>
      </c>
      <c r="C457" s="4">
        <v>1</v>
      </c>
      <c r="D457" s="5">
        <v>5</v>
      </c>
      <c r="E457" s="4" t="s">
        <v>6993</v>
      </c>
      <c r="F457" s="3" t="s">
        <v>5604</v>
      </c>
      <c r="G457" s="7" t="s">
        <v>5898</v>
      </c>
      <c r="H457" s="3" t="s">
        <v>6632</v>
      </c>
      <c r="I457" s="3" t="s">
        <v>6969</v>
      </c>
      <c r="J457" s="3" t="s">
        <v>5536</v>
      </c>
      <c r="K457" s="3" t="s">
        <v>6994</v>
      </c>
      <c r="L457" s="8" t="str">
        <f>HYPERLINK("http://slimages.macys.com/is/image/MCY/14345413 ")</f>
        <v xml:space="preserve">http://slimages.macys.com/is/image/MCY/14345413 </v>
      </c>
    </row>
    <row r="458" spans="1:12" ht="48.75" x14ac:dyDescent="0.25">
      <c r="A458" s="6" t="s">
        <v>2625</v>
      </c>
      <c r="B458" s="3" t="s">
        <v>2626</v>
      </c>
      <c r="C458" s="4">
        <v>6</v>
      </c>
      <c r="D458" s="5">
        <v>30</v>
      </c>
      <c r="E458" s="4" t="s">
        <v>2627</v>
      </c>
      <c r="F458" s="3" t="s">
        <v>5540</v>
      </c>
      <c r="G458" s="7" t="s">
        <v>5898</v>
      </c>
      <c r="H458" s="3" t="s">
        <v>6632</v>
      </c>
      <c r="I458" s="3" t="s">
        <v>6969</v>
      </c>
      <c r="J458" s="3" t="s">
        <v>5536</v>
      </c>
      <c r="K458" s="3" t="s">
        <v>2628</v>
      </c>
      <c r="L458" s="8" t="str">
        <f>HYPERLINK("http://slimages.macys.com/is/image/MCY/12253445 ")</f>
        <v xml:space="preserve">http://slimages.macys.com/is/image/MCY/12253445 </v>
      </c>
    </row>
    <row r="459" spans="1:12" ht="24.75" x14ac:dyDescent="0.25">
      <c r="A459" s="6" t="s">
        <v>2629</v>
      </c>
      <c r="B459" s="3" t="s">
        <v>2630</v>
      </c>
      <c r="C459" s="4">
        <v>6</v>
      </c>
      <c r="D459" s="5">
        <v>30</v>
      </c>
      <c r="E459" s="4" t="s">
        <v>2631</v>
      </c>
      <c r="F459" s="3" t="s">
        <v>5604</v>
      </c>
      <c r="G459" s="7" t="s">
        <v>5898</v>
      </c>
      <c r="H459" s="3" t="s">
        <v>6632</v>
      </c>
      <c r="I459" s="3" t="s">
        <v>6969</v>
      </c>
      <c r="J459" s="3" t="s">
        <v>5536</v>
      </c>
      <c r="K459" s="3" t="s">
        <v>6990</v>
      </c>
      <c r="L459" s="8" t="str">
        <f>HYPERLINK("http://slimages.macys.com/is/image/MCY/15668373 ")</f>
        <v xml:space="preserve">http://slimages.macys.com/is/image/MCY/15668373 </v>
      </c>
    </row>
    <row r="460" spans="1:12" ht="24.75" x14ac:dyDescent="0.25">
      <c r="A460" s="6" t="s">
        <v>2632</v>
      </c>
      <c r="B460" s="3" t="s">
        <v>2633</v>
      </c>
      <c r="C460" s="4">
        <v>3</v>
      </c>
      <c r="D460" s="5">
        <v>15</v>
      </c>
      <c r="E460" s="4" t="s">
        <v>2634</v>
      </c>
      <c r="F460" s="3" t="s">
        <v>5540</v>
      </c>
      <c r="G460" s="7" t="s">
        <v>5898</v>
      </c>
      <c r="H460" s="3" t="s">
        <v>6632</v>
      </c>
      <c r="I460" s="3" t="s">
        <v>6969</v>
      </c>
      <c r="J460" s="3" t="s">
        <v>5536</v>
      </c>
      <c r="K460" s="3" t="s">
        <v>2635</v>
      </c>
      <c r="L460" s="8" t="str">
        <f>HYPERLINK("http://slimages.macys.com/is/image/MCY/15668355 ")</f>
        <v xml:space="preserve">http://slimages.macys.com/is/image/MCY/15668355 </v>
      </c>
    </row>
    <row r="461" spans="1:12" ht="24.75" x14ac:dyDescent="0.25">
      <c r="A461" s="6" t="s">
        <v>2636</v>
      </c>
      <c r="B461" s="3" t="s">
        <v>2637</v>
      </c>
      <c r="C461" s="4">
        <v>1</v>
      </c>
      <c r="D461" s="5">
        <v>5</v>
      </c>
      <c r="E461" s="4" t="s">
        <v>2638</v>
      </c>
      <c r="F461" s="3" t="s">
        <v>5532</v>
      </c>
      <c r="G461" s="7" t="s">
        <v>5898</v>
      </c>
      <c r="H461" s="3" t="s">
        <v>6632</v>
      </c>
      <c r="I461" s="3" t="s">
        <v>6969</v>
      </c>
      <c r="J461" s="3" t="s">
        <v>5536</v>
      </c>
      <c r="K461" s="3" t="s">
        <v>6970</v>
      </c>
      <c r="L461" s="8" t="str">
        <f>HYPERLINK("http://slimages.macys.com/is/image/MCY/15501726 ")</f>
        <v xml:space="preserve">http://slimages.macys.com/is/image/MCY/15501726 </v>
      </c>
    </row>
    <row r="462" spans="1:12" ht="24.75" x14ac:dyDescent="0.25">
      <c r="A462" s="6" t="s">
        <v>7005</v>
      </c>
      <c r="B462" s="3" t="s">
        <v>7006</v>
      </c>
      <c r="C462" s="4">
        <v>1</v>
      </c>
      <c r="D462" s="5">
        <v>5</v>
      </c>
      <c r="E462" s="4" t="s">
        <v>7007</v>
      </c>
      <c r="F462" s="3" t="s">
        <v>5540</v>
      </c>
      <c r="G462" s="7" t="s">
        <v>5898</v>
      </c>
      <c r="H462" s="3" t="s">
        <v>6632</v>
      </c>
      <c r="I462" s="3" t="s">
        <v>6969</v>
      </c>
      <c r="J462" s="3" t="s">
        <v>5536</v>
      </c>
      <c r="K462" s="3" t="s">
        <v>6970</v>
      </c>
      <c r="L462" s="8" t="str">
        <f>HYPERLINK("http://slimages.macys.com/is/image/MCY/13811882 ")</f>
        <v xml:space="preserve">http://slimages.macys.com/is/image/MCY/13811882 </v>
      </c>
    </row>
    <row r="463" spans="1:12" ht="24.75" x14ac:dyDescent="0.25">
      <c r="A463" s="6" t="s">
        <v>6995</v>
      </c>
      <c r="B463" s="3" t="s">
        <v>6985</v>
      </c>
      <c r="C463" s="4">
        <v>5</v>
      </c>
      <c r="D463" s="5">
        <v>25</v>
      </c>
      <c r="E463" s="4" t="s">
        <v>6986</v>
      </c>
      <c r="F463" s="3" t="s">
        <v>5661</v>
      </c>
      <c r="G463" s="7" t="s">
        <v>5898</v>
      </c>
      <c r="H463" s="3" t="s">
        <v>6632</v>
      </c>
      <c r="I463" s="3" t="s">
        <v>6969</v>
      </c>
      <c r="J463" s="3" t="s">
        <v>5536</v>
      </c>
      <c r="K463" s="3" t="s">
        <v>6974</v>
      </c>
      <c r="L463" s="8" t="str">
        <f>HYPERLINK("http://slimages.macys.com/is/image/MCY/9843724 ")</f>
        <v xml:space="preserve">http://slimages.macys.com/is/image/MCY/9843724 </v>
      </c>
    </row>
    <row r="464" spans="1:12" ht="24.75" x14ac:dyDescent="0.25">
      <c r="A464" s="6" t="s">
        <v>6984</v>
      </c>
      <c r="B464" s="3" t="s">
        <v>6985</v>
      </c>
      <c r="C464" s="4">
        <v>10</v>
      </c>
      <c r="D464" s="5">
        <v>50</v>
      </c>
      <c r="E464" s="4" t="s">
        <v>6986</v>
      </c>
      <c r="F464" s="3" t="s">
        <v>5745</v>
      </c>
      <c r="G464" s="7" t="s">
        <v>5898</v>
      </c>
      <c r="H464" s="3" t="s">
        <v>6632</v>
      </c>
      <c r="I464" s="3" t="s">
        <v>6969</v>
      </c>
      <c r="J464" s="3" t="s">
        <v>5536</v>
      </c>
      <c r="K464" s="3" t="s">
        <v>6974</v>
      </c>
      <c r="L464" s="8" t="str">
        <f>HYPERLINK("http://slimages.macys.com/is/image/MCY/9843724 ")</f>
        <v xml:space="preserve">http://slimages.macys.com/is/image/MCY/9843724 </v>
      </c>
    </row>
    <row r="465" spans="1:12" ht="24.75" x14ac:dyDescent="0.25">
      <c r="A465" s="6" t="s">
        <v>6975</v>
      </c>
      <c r="B465" s="3" t="s">
        <v>6976</v>
      </c>
      <c r="C465" s="4">
        <v>2</v>
      </c>
      <c r="D465" s="5">
        <v>10</v>
      </c>
      <c r="E465" s="4" t="s">
        <v>6977</v>
      </c>
      <c r="F465" s="3" t="s">
        <v>5604</v>
      </c>
      <c r="G465" s="7" t="s">
        <v>5898</v>
      </c>
      <c r="H465" s="3" t="s">
        <v>6632</v>
      </c>
      <c r="I465" s="3" t="s">
        <v>6969</v>
      </c>
      <c r="J465" s="3" t="s">
        <v>5536</v>
      </c>
      <c r="K465" s="3" t="s">
        <v>6978</v>
      </c>
      <c r="L465" s="8" t="str">
        <f>HYPERLINK("http://slimages.macys.com/is/image/MCY/14346481 ")</f>
        <v xml:space="preserve">http://slimages.macys.com/is/image/MCY/14346481 </v>
      </c>
    </row>
    <row r="466" spans="1:12" ht="24.75" x14ac:dyDescent="0.25">
      <c r="A466" s="6" t="s">
        <v>6980</v>
      </c>
      <c r="B466" s="3" t="s">
        <v>6981</v>
      </c>
      <c r="C466" s="4">
        <v>1</v>
      </c>
      <c r="D466" s="5">
        <v>5</v>
      </c>
      <c r="E466" s="4" t="s">
        <v>6982</v>
      </c>
      <c r="F466" s="3" t="s">
        <v>6983</v>
      </c>
      <c r="G466" s="7" t="s">
        <v>5898</v>
      </c>
      <c r="H466" s="3" t="s">
        <v>6632</v>
      </c>
      <c r="I466" s="3" t="s">
        <v>6969</v>
      </c>
      <c r="J466" s="3" t="s">
        <v>5536</v>
      </c>
      <c r="K466" s="3" t="s">
        <v>6970</v>
      </c>
      <c r="L466" s="8" t="str">
        <f>HYPERLINK("http://slimages.macys.com/is/image/MCY/12734470 ")</f>
        <v xml:space="preserve">http://slimages.macys.com/is/image/MCY/12734470 </v>
      </c>
    </row>
    <row r="467" spans="1:12" ht="24.75" x14ac:dyDescent="0.25">
      <c r="A467" s="6" t="s">
        <v>6979</v>
      </c>
      <c r="B467" s="3" t="s">
        <v>6967</v>
      </c>
      <c r="C467" s="4">
        <v>6</v>
      </c>
      <c r="D467" s="5">
        <v>30</v>
      </c>
      <c r="E467" s="4" t="s">
        <v>6968</v>
      </c>
      <c r="F467" s="3" t="s">
        <v>5572</v>
      </c>
      <c r="G467" s="7" t="s">
        <v>5898</v>
      </c>
      <c r="H467" s="3" t="s">
        <v>6632</v>
      </c>
      <c r="I467" s="3" t="s">
        <v>6969</v>
      </c>
      <c r="J467" s="3" t="s">
        <v>5536</v>
      </c>
      <c r="K467" s="3" t="s">
        <v>6970</v>
      </c>
      <c r="L467" s="8" t="str">
        <f>HYPERLINK("http://slimages.macys.com/is/image/MCY/13811905 ")</f>
        <v xml:space="preserve">http://slimages.macys.com/is/image/MCY/13811905 </v>
      </c>
    </row>
    <row r="468" spans="1:12" ht="24.75" x14ac:dyDescent="0.25">
      <c r="A468" s="6" t="s">
        <v>2639</v>
      </c>
      <c r="B468" s="3" t="s">
        <v>2633</v>
      </c>
      <c r="C468" s="4">
        <v>3</v>
      </c>
      <c r="D468" s="5">
        <v>15</v>
      </c>
      <c r="E468" s="4" t="s">
        <v>2634</v>
      </c>
      <c r="F468" s="3" t="s">
        <v>5661</v>
      </c>
      <c r="G468" s="7" t="s">
        <v>5898</v>
      </c>
      <c r="H468" s="3" t="s">
        <v>6632</v>
      </c>
      <c r="I468" s="3" t="s">
        <v>6969</v>
      </c>
      <c r="J468" s="3" t="s">
        <v>5536</v>
      </c>
      <c r="K468" s="3" t="s">
        <v>2635</v>
      </c>
      <c r="L468" s="8" t="str">
        <f>HYPERLINK("http://slimages.macys.com/is/image/MCY/15668355 ")</f>
        <v xml:space="preserve">http://slimages.macys.com/is/image/MCY/15668355 </v>
      </c>
    </row>
    <row r="469" spans="1:12" ht="24.75" x14ac:dyDescent="0.25">
      <c r="A469" s="6" t="s">
        <v>2640</v>
      </c>
      <c r="B469" s="3" t="s">
        <v>2641</v>
      </c>
      <c r="C469" s="4">
        <v>16</v>
      </c>
      <c r="D469" s="5">
        <v>80</v>
      </c>
      <c r="E469" s="4" t="s">
        <v>2642</v>
      </c>
      <c r="F469" s="3" t="s">
        <v>5604</v>
      </c>
      <c r="G469" s="7" t="s">
        <v>5898</v>
      </c>
      <c r="H469" s="3" t="s">
        <v>6632</v>
      </c>
      <c r="I469" s="3" t="s">
        <v>6969</v>
      </c>
      <c r="J469" s="3" t="s">
        <v>5536</v>
      </c>
      <c r="K469" s="3" t="s">
        <v>7004</v>
      </c>
      <c r="L469" s="8" t="str">
        <f>HYPERLINK("http://slimages.macys.com/is/image/MCY/15668362 ")</f>
        <v xml:space="preserve">http://slimages.macys.com/is/image/MCY/15668362 </v>
      </c>
    </row>
    <row r="470" spans="1:12" ht="24.75" x14ac:dyDescent="0.25">
      <c r="A470" s="6" t="s">
        <v>2643</v>
      </c>
      <c r="B470" s="3" t="s">
        <v>2644</v>
      </c>
      <c r="C470" s="4">
        <v>3</v>
      </c>
      <c r="D470" s="5">
        <v>15</v>
      </c>
      <c r="E470" s="4" t="s">
        <v>2645</v>
      </c>
      <c r="F470" s="3" t="s">
        <v>5661</v>
      </c>
      <c r="G470" s="7" t="s">
        <v>5898</v>
      </c>
      <c r="H470" s="3" t="s">
        <v>6632</v>
      </c>
      <c r="I470" s="3" t="s">
        <v>6969</v>
      </c>
      <c r="J470" s="3" t="s">
        <v>5536</v>
      </c>
      <c r="K470" s="3" t="s">
        <v>6970</v>
      </c>
      <c r="L470" s="8" t="str">
        <f>HYPERLINK("http://slimages.macys.com/is/image/MCY/15501732 ")</f>
        <v xml:space="preserve">http://slimages.macys.com/is/image/MCY/15501732 </v>
      </c>
    </row>
    <row r="471" spans="1:12" ht="24.75" x14ac:dyDescent="0.25">
      <c r="A471" s="6" t="s">
        <v>2646</v>
      </c>
      <c r="B471" s="3" t="s">
        <v>2630</v>
      </c>
      <c r="C471" s="4">
        <v>11</v>
      </c>
      <c r="D471" s="5">
        <v>55</v>
      </c>
      <c r="E471" s="4" t="s">
        <v>2631</v>
      </c>
      <c r="F471" s="3" t="s">
        <v>5540</v>
      </c>
      <c r="G471" s="7" t="s">
        <v>5898</v>
      </c>
      <c r="H471" s="3" t="s">
        <v>6632</v>
      </c>
      <c r="I471" s="3" t="s">
        <v>6969</v>
      </c>
      <c r="J471" s="3" t="s">
        <v>5536</v>
      </c>
      <c r="K471" s="3" t="s">
        <v>6990</v>
      </c>
      <c r="L471" s="8" t="str">
        <f>HYPERLINK("http://slimages.macys.com/is/image/MCY/15668373 ")</f>
        <v xml:space="preserve">http://slimages.macys.com/is/image/MCY/15668373 </v>
      </c>
    </row>
    <row r="472" spans="1:12" ht="24.75" x14ac:dyDescent="0.25">
      <c r="A472" s="6" t="s">
        <v>6996</v>
      </c>
      <c r="B472" s="3" t="s">
        <v>6985</v>
      </c>
      <c r="C472" s="4">
        <v>4</v>
      </c>
      <c r="D472" s="5">
        <v>20</v>
      </c>
      <c r="E472" s="4" t="s">
        <v>6986</v>
      </c>
      <c r="F472" s="3" t="s">
        <v>5532</v>
      </c>
      <c r="G472" s="7" t="s">
        <v>5898</v>
      </c>
      <c r="H472" s="3" t="s">
        <v>6632</v>
      </c>
      <c r="I472" s="3" t="s">
        <v>6969</v>
      </c>
      <c r="J472" s="3" t="s">
        <v>5536</v>
      </c>
      <c r="K472" s="3" t="s">
        <v>6974</v>
      </c>
      <c r="L472" s="8" t="str">
        <f>HYPERLINK("http://slimages.macys.com/is/image/MCY/9843724 ")</f>
        <v xml:space="preserve">http://slimages.macys.com/is/image/MCY/9843724 </v>
      </c>
    </row>
    <row r="473" spans="1:12" ht="24.75" x14ac:dyDescent="0.25">
      <c r="A473" s="6" t="s">
        <v>7000</v>
      </c>
      <c r="B473" s="3" t="s">
        <v>6967</v>
      </c>
      <c r="C473" s="4">
        <v>7</v>
      </c>
      <c r="D473" s="5">
        <v>35</v>
      </c>
      <c r="E473" s="4" t="s">
        <v>6968</v>
      </c>
      <c r="F473" s="3" t="s">
        <v>5820</v>
      </c>
      <c r="G473" s="7" t="s">
        <v>5898</v>
      </c>
      <c r="H473" s="3" t="s">
        <v>6632</v>
      </c>
      <c r="I473" s="3" t="s">
        <v>6969</v>
      </c>
      <c r="J473" s="3" t="s">
        <v>5536</v>
      </c>
      <c r="K473" s="3" t="s">
        <v>6970</v>
      </c>
      <c r="L473" s="8" t="str">
        <f>HYPERLINK("http://slimages.macys.com/is/image/MCY/13811905 ")</f>
        <v xml:space="preserve">http://slimages.macys.com/is/image/MCY/13811905 </v>
      </c>
    </row>
    <row r="474" spans="1:12" ht="24.75" x14ac:dyDescent="0.25">
      <c r="A474" s="6" t="s">
        <v>2647</v>
      </c>
      <c r="B474" s="3" t="s">
        <v>2648</v>
      </c>
      <c r="C474" s="4">
        <v>1</v>
      </c>
      <c r="D474" s="5">
        <v>5</v>
      </c>
      <c r="E474" s="4">
        <v>100012390</v>
      </c>
      <c r="F474" s="3" t="s">
        <v>5540</v>
      </c>
      <c r="G474" s="7" t="s">
        <v>5898</v>
      </c>
      <c r="H474" s="3" t="s">
        <v>6632</v>
      </c>
      <c r="I474" s="3" t="s">
        <v>6969</v>
      </c>
      <c r="J474" s="3" t="s">
        <v>5536</v>
      </c>
      <c r="K474" s="3" t="s">
        <v>6970</v>
      </c>
      <c r="L474" s="8" t="str">
        <f>HYPERLINK("http://slimages.macys.com/is/image/MCY/9262418 ")</f>
        <v xml:space="preserve">http://slimages.macys.com/is/image/MCY/9262418 </v>
      </c>
    </row>
    <row r="475" spans="1:12" ht="24.75" x14ac:dyDescent="0.25">
      <c r="A475" s="6" t="s">
        <v>2649</v>
      </c>
      <c r="B475" s="3" t="s">
        <v>6747</v>
      </c>
      <c r="C475" s="4">
        <v>1</v>
      </c>
      <c r="D475" s="5">
        <v>19.989999999999998</v>
      </c>
      <c r="E475" s="4">
        <v>10007022700</v>
      </c>
      <c r="F475" s="3" t="s">
        <v>5661</v>
      </c>
      <c r="G475" s="7" t="s">
        <v>6252</v>
      </c>
      <c r="H475" s="3" t="s">
        <v>6652</v>
      </c>
      <c r="I475" s="3" t="s">
        <v>6681</v>
      </c>
      <c r="J475" s="3"/>
      <c r="K475" s="3"/>
      <c r="L475" s="8"/>
    </row>
    <row r="476" spans="1:12" ht="24.75" x14ac:dyDescent="0.25">
      <c r="A476" s="6" t="s">
        <v>2650</v>
      </c>
      <c r="B476" s="3" t="s">
        <v>2651</v>
      </c>
      <c r="C476" s="4">
        <v>2</v>
      </c>
      <c r="D476" s="5">
        <v>39.979999999999997</v>
      </c>
      <c r="E476" s="4" t="s">
        <v>2652</v>
      </c>
      <c r="F476" s="3" t="s">
        <v>6335</v>
      </c>
      <c r="G476" s="7" t="s">
        <v>6252</v>
      </c>
      <c r="H476" s="3" t="s">
        <v>6280</v>
      </c>
      <c r="I476" s="3" t="s">
        <v>2653</v>
      </c>
      <c r="J476" s="3"/>
      <c r="K476" s="3"/>
      <c r="L476" s="8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395"/>
  <sheetViews>
    <sheetView workbookViewId="0">
      <selection activeCell="E18" sqref="E18"/>
    </sheetView>
  </sheetViews>
  <sheetFormatPr defaultRowHeight="15" x14ac:dyDescent="0.25"/>
  <cols>
    <col min="1" max="1" width="14.28515625" customWidth="1"/>
    <col min="2" max="2" width="22.85546875" customWidth="1"/>
    <col min="3" max="3" width="15" customWidth="1"/>
    <col min="4" max="4" width="10.28515625" customWidth="1"/>
    <col min="5" max="5" width="14.8554687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24.75" x14ac:dyDescent="0.25">
      <c r="A2" s="6" t="s">
        <v>2654</v>
      </c>
      <c r="B2" s="3" t="s">
        <v>2655</v>
      </c>
      <c r="C2" s="4">
        <v>1</v>
      </c>
      <c r="D2" s="5">
        <v>340</v>
      </c>
      <c r="E2" s="4" t="s">
        <v>2656</v>
      </c>
      <c r="F2" s="3" t="s">
        <v>5540</v>
      </c>
      <c r="G2" s="7" t="s">
        <v>2657</v>
      </c>
      <c r="H2" s="3" t="s">
        <v>2658</v>
      </c>
      <c r="I2" s="3" t="s">
        <v>2659</v>
      </c>
      <c r="J2" s="3" t="s">
        <v>5536</v>
      </c>
      <c r="K2" s="3" t="s">
        <v>5558</v>
      </c>
      <c r="L2" s="8" t="str">
        <f>HYPERLINK("http://slimages.macys.com/is/image/MCY/12853891 ")</f>
        <v xml:space="preserve">http://slimages.macys.com/is/image/MCY/12853891 </v>
      </c>
    </row>
    <row r="3" spans="1:12" ht="24.75" x14ac:dyDescent="0.25">
      <c r="A3" s="6" t="s">
        <v>2660</v>
      </c>
      <c r="B3" s="3" t="s">
        <v>2661</v>
      </c>
      <c r="C3" s="4">
        <v>1</v>
      </c>
      <c r="D3" s="5">
        <v>215</v>
      </c>
      <c r="E3" s="4" t="s">
        <v>2662</v>
      </c>
      <c r="F3" s="3" t="s">
        <v>5540</v>
      </c>
      <c r="G3" s="7" t="s">
        <v>5596</v>
      </c>
      <c r="H3" s="3" t="s">
        <v>2658</v>
      </c>
      <c r="I3" s="3" t="s">
        <v>2659</v>
      </c>
      <c r="J3" s="3" t="s">
        <v>5536</v>
      </c>
      <c r="K3" s="3" t="s">
        <v>5594</v>
      </c>
      <c r="L3" s="8" t="str">
        <f>HYPERLINK("http://slimages.macys.com/is/image/MCY/11646961 ")</f>
        <v xml:space="preserve">http://slimages.macys.com/is/image/MCY/11646961 </v>
      </c>
    </row>
    <row r="4" spans="1:12" ht="36.75" x14ac:dyDescent="0.25">
      <c r="A4" s="6" t="s">
        <v>2663</v>
      </c>
      <c r="B4" s="3" t="s">
        <v>2664</v>
      </c>
      <c r="C4" s="4">
        <v>1</v>
      </c>
      <c r="D4" s="5">
        <v>166.1</v>
      </c>
      <c r="E4" s="4" t="s">
        <v>2665</v>
      </c>
      <c r="F4" s="3" t="s">
        <v>5640</v>
      </c>
      <c r="G4" s="7" t="s">
        <v>5562</v>
      </c>
      <c r="H4" s="3" t="s">
        <v>5877</v>
      </c>
      <c r="I4" s="3" t="s">
        <v>7138</v>
      </c>
      <c r="J4" s="3" t="s">
        <v>5536</v>
      </c>
      <c r="K4" s="3" t="s">
        <v>2666</v>
      </c>
      <c r="L4" s="8" t="str">
        <f>HYPERLINK("http://slimages.macys.com/is/image/MCY/15659931 ")</f>
        <v xml:space="preserve">http://slimages.macys.com/is/image/MCY/15659931 </v>
      </c>
    </row>
    <row r="5" spans="1:12" ht="72.75" x14ac:dyDescent="0.25">
      <c r="A5" s="6" t="s">
        <v>2667</v>
      </c>
      <c r="B5" s="3" t="s">
        <v>2668</v>
      </c>
      <c r="C5" s="4">
        <v>1</v>
      </c>
      <c r="D5" s="5">
        <v>172.22</v>
      </c>
      <c r="E5" s="4" t="s">
        <v>2669</v>
      </c>
      <c r="F5" s="3"/>
      <c r="G5" s="7" t="s">
        <v>5249</v>
      </c>
      <c r="H5" s="3" t="s">
        <v>7059</v>
      </c>
      <c r="I5" s="3" t="s">
        <v>7138</v>
      </c>
      <c r="J5" s="3" t="s">
        <v>5536</v>
      </c>
      <c r="K5" s="3" t="s">
        <v>2670</v>
      </c>
      <c r="L5" s="8" t="str">
        <f>HYPERLINK("http://slimages.macys.com/is/image/MCY/15126028 ")</f>
        <v xml:space="preserve">http://slimages.macys.com/is/image/MCY/15126028 </v>
      </c>
    </row>
    <row r="6" spans="1:12" ht="24.75" x14ac:dyDescent="0.25">
      <c r="A6" s="6" t="s">
        <v>2671</v>
      </c>
      <c r="B6" s="3" t="s">
        <v>2672</v>
      </c>
      <c r="C6" s="4">
        <v>1</v>
      </c>
      <c r="D6" s="5">
        <v>134</v>
      </c>
      <c r="E6" s="4" t="s">
        <v>2673</v>
      </c>
      <c r="F6" s="3" t="s">
        <v>5625</v>
      </c>
      <c r="G6" s="7" t="s">
        <v>7052</v>
      </c>
      <c r="H6" s="3" t="s">
        <v>7059</v>
      </c>
      <c r="I6" s="3" t="s">
        <v>5934</v>
      </c>
      <c r="J6" s="3" t="s">
        <v>5536</v>
      </c>
      <c r="K6" s="3" t="s">
        <v>4594</v>
      </c>
      <c r="L6" s="8" t="str">
        <f>HYPERLINK("http://slimages.macys.com/is/image/MCY/14989251 ")</f>
        <v xml:space="preserve">http://slimages.macys.com/is/image/MCY/14989251 </v>
      </c>
    </row>
    <row r="7" spans="1:12" ht="48.75" x14ac:dyDescent="0.25">
      <c r="A7" s="6" t="s">
        <v>2674</v>
      </c>
      <c r="B7" s="3" t="s">
        <v>2675</v>
      </c>
      <c r="C7" s="4">
        <v>1</v>
      </c>
      <c r="D7" s="5">
        <v>129</v>
      </c>
      <c r="E7" s="4" t="s">
        <v>2676</v>
      </c>
      <c r="F7" s="3" t="s">
        <v>5625</v>
      </c>
      <c r="G7" s="7" t="s">
        <v>5596</v>
      </c>
      <c r="H7" s="3" t="s">
        <v>5715</v>
      </c>
      <c r="I7" s="3" t="s">
        <v>5716</v>
      </c>
      <c r="J7" s="3" t="s">
        <v>5536</v>
      </c>
      <c r="K7" s="3" t="s">
        <v>2677</v>
      </c>
      <c r="L7" s="8" t="str">
        <f>HYPERLINK("http://slimages.macys.com/is/image/MCY/15625607 ")</f>
        <v xml:space="preserve">http://slimages.macys.com/is/image/MCY/15625607 </v>
      </c>
    </row>
    <row r="8" spans="1:12" ht="48.75" x14ac:dyDescent="0.25">
      <c r="A8" s="6" t="s">
        <v>2678</v>
      </c>
      <c r="B8" s="3" t="s">
        <v>2679</v>
      </c>
      <c r="C8" s="4">
        <v>1</v>
      </c>
      <c r="D8" s="5">
        <v>127</v>
      </c>
      <c r="E8" s="4" t="s">
        <v>2680</v>
      </c>
      <c r="F8" s="3" t="s">
        <v>5754</v>
      </c>
      <c r="G8" s="7" t="s">
        <v>4577</v>
      </c>
      <c r="H8" s="3" t="s">
        <v>7059</v>
      </c>
      <c r="I8" s="3" t="s">
        <v>7202</v>
      </c>
      <c r="J8" s="3" t="s">
        <v>5536</v>
      </c>
      <c r="K8" s="3" t="s">
        <v>2681</v>
      </c>
      <c r="L8" s="8" t="str">
        <f>HYPERLINK("http://slimages.macys.com/is/image/MCY/13783526 ")</f>
        <v xml:space="preserve">http://slimages.macys.com/is/image/MCY/13783526 </v>
      </c>
    </row>
    <row r="9" spans="1:12" ht="24.75" x14ac:dyDescent="0.25">
      <c r="A9" s="6" t="s">
        <v>2682</v>
      </c>
      <c r="B9" s="3" t="s">
        <v>2683</v>
      </c>
      <c r="C9" s="4">
        <v>1</v>
      </c>
      <c r="D9" s="5">
        <v>98.5</v>
      </c>
      <c r="E9" s="4">
        <v>710718395008</v>
      </c>
      <c r="F9" s="3" t="s">
        <v>5540</v>
      </c>
      <c r="G9" s="7" t="s">
        <v>5707</v>
      </c>
      <c r="H9" s="3" t="s">
        <v>5534</v>
      </c>
      <c r="I9" s="3" t="s">
        <v>5535</v>
      </c>
      <c r="J9" s="3" t="s">
        <v>5536</v>
      </c>
      <c r="K9" s="3" t="s">
        <v>5558</v>
      </c>
      <c r="L9" s="8" t="str">
        <f>HYPERLINK("http://slimages.macys.com/is/image/MCY/10225570 ")</f>
        <v xml:space="preserve">http://slimages.macys.com/is/image/MCY/10225570 </v>
      </c>
    </row>
    <row r="10" spans="1:12" x14ac:dyDescent="0.25">
      <c r="A10" s="6" t="s">
        <v>5559</v>
      </c>
      <c r="B10" s="3" t="s">
        <v>5551</v>
      </c>
      <c r="C10" s="4">
        <v>1</v>
      </c>
      <c r="D10" s="5">
        <v>110</v>
      </c>
      <c r="E10" s="4">
        <v>710701611032</v>
      </c>
      <c r="F10" s="3" t="s">
        <v>5552</v>
      </c>
      <c r="G10" s="7" t="s">
        <v>5560</v>
      </c>
      <c r="H10" s="3" t="s">
        <v>5534</v>
      </c>
      <c r="I10" s="3" t="s">
        <v>5535</v>
      </c>
      <c r="J10" s="3" t="s">
        <v>5536</v>
      </c>
      <c r="K10" s="3" t="s">
        <v>5553</v>
      </c>
      <c r="L10" s="8" t="str">
        <f>HYPERLINK("http://slimages.macys.com/is/image/MCY/10002586 ")</f>
        <v xml:space="preserve">http://slimages.macys.com/is/image/MCY/10002586 </v>
      </c>
    </row>
    <row r="11" spans="1:12" ht="24.75" x14ac:dyDescent="0.25">
      <c r="A11" s="6" t="s">
        <v>2684</v>
      </c>
      <c r="B11" s="3" t="s">
        <v>2685</v>
      </c>
      <c r="C11" s="4">
        <v>1</v>
      </c>
      <c r="D11" s="5">
        <v>130</v>
      </c>
      <c r="E11" s="4" t="s">
        <v>2686</v>
      </c>
      <c r="F11" s="3" t="s">
        <v>5532</v>
      </c>
      <c r="G11" s="7" t="s">
        <v>5562</v>
      </c>
      <c r="H11" s="3" t="s">
        <v>2687</v>
      </c>
      <c r="I11" s="3" t="s">
        <v>2688</v>
      </c>
      <c r="J11" s="3" t="s">
        <v>5536</v>
      </c>
      <c r="K11" s="3" t="s">
        <v>5594</v>
      </c>
      <c r="L11" s="8" t="str">
        <f>HYPERLINK("http://slimages.macys.com/is/image/MCY/15721285 ")</f>
        <v xml:space="preserve">http://slimages.macys.com/is/image/MCY/15721285 </v>
      </c>
    </row>
    <row r="12" spans="1:12" x14ac:dyDescent="0.25">
      <c r="A12" s="6" t="s">
        <v>2689</v>
      </c>
      <c r="B12" s="3" t="s">
        <v>2690</v>
      </c>
      <c r="C12" s="4">
        <v>1</v>
      </c>
      <c r="D12" s="5">
        <v>69.989999999999995</v>
      </c>
      <c r="E12" s="4">
        <v>723340438</v>
      </c>
      <c r="F12" s="3" t="s">
        <v>5745</v>
      </c>
      <c r="G12" s="7" t="s">
        <v>5560</v>
      </c>
      <c r="H12" s="3" t="s">
        <v>5606</v>
      </c>
      <c r="I12" s="3" t="s">
        <v>5607</v>
      </c>
      <c r="J12" s="3" t="s">
        <v>5536</v>
      </c>
      <c r="K12" s="3" t="s">
        <v>5558</v>
      </c>
      <c r="L12" s="8" t="str">
        <f>HYPERLINK("http://slimages.macys.com/is/image/MCY/16634451 ")</f>
        <v xml:space="preserve">http://slimages.macys.com/is/image/MCY/16634451 </v>
      </c>
    </row>
    <row r="13" spans="1:12" ht="24.75" x14ac:dyDescent="0.25">
      <c r="A13" s="6" t="s">
        <v>2691</v>
      </c>
      <c r="B13" s="3" t="s">
        <v>2692</v>
      </c>
      <c r="C13" s="4">
        <v>1</v>
      </c>
      <c r="D13" s="5">
        <v>99</v>
      </c>
      <c r="E13" s="4" t="s">
        <v>2693</v>
      </c>
      <c r="F13" s="3" t="s">
        <v>5532</v>
      </c>
      <c r="G13" s="7" t="s">
        <v>5567</v>
      </c>
      <c r="H13" s="3" t="s">
        <v>7157</v>
      </c>
      <c r="I13" s="3" t="s">
        <v>7158</v>
      </c>
      <c r="J13" s="3" t="s">
        <v>5536</v>
      </c>
      <c r="K13" s="3" t="s">
        <v>5641</v>
      </c>
      <c r="L13" s="8" t="str">
        <f>HYPERLINK("http://slimages.macys.com/is/image/MCY/11631764 ")</f>
        <v xml:space="preserve">http://slimages.macys.com/is/image/MCY/11631764 </v>
      </c>
    </row>
    <row r="14" spans="1:12" ht="24.75" x14ac:dyDescent="0.25">
      <c r="A14" s="6" t="s">
        <v>2694</v>
      </c>
      <c r="B14" s="3" t="s">
        <v>2695</v>
      </c>
      <c r="C14" s="4">
        <v>2</v>
      </c>
      <c r="D14" s="5">
        <v>198</v>
      </c>
      <c r="E14" s="4" t="s">
        <v>2696</v>
      </c>
      <c r="F14" s="3" t="s">
        <v>5532</v>
      </c>
      <c r="G14" s="7" t="s">
        <v>5560</v>
      </c>
      <c r="H14" s="3" t="s">
        <v>7157</v>
      </c>
      <c r="I14" s="3" t="s">
        <v>7158</v>
      </c>
      <c r="J14" s="3" t="s">
        <v>5536</v>
      </c>
      <c r="K14" s="3" t="s">
        <v>5727</v>
      </c>
      <c r="L14" s="8" t="str">
        <f>HYPERLINK("http://slimages.macys.com/is/image/MCY/15704069 ")</f>
        <v xml:space="preserve">http://slimages.macys.com/is/image/MCY/15704069 </v>
      </c>
    </row>
    <row r="15" spans="1:12" ht="24.75" x14ac:dyDescent="0.25">
      <c r="A15" s="6" t="s">
        <v>2697</v>
      </c>
      <c r="B15" s="3" t="s">
        <v>2695</v>
      </c>
      <c r="C15" s="4">
        <v>1</v>
      </c>
      <c r="D15" s="5">
        <v>99</v>
      </c>
      <c r="E15" s="4" t="s">
        <v>2696</v>
      </c>
      <c r="F15" s="3" t="s">
        <v>5532</v>
      </c>
      <c r="G15" s="7" t="s">
        <v>5596</v>
      </c>
      <c r="H15" s="3" t="s">
        <v>7157</v>
      </c>
      <c r="I15" s="3" t="s">
        <v>7158</v>
      </c>
      <c r="J15" s="3" t="s">
        <v>5536</v>
      </c>
      <c r="K15" s="3" t="s">
        <v>5727</v>
      </c>
      <c r="L15" s="8" t="str">
        <f>HYPERLINK("http://slimages.macys.com/is/image/MCY/15704069 ")</f>
        <v xml:space="preserve">http://slimages.macys.com/is/image/MCY/15704069 </v>
      </c>
    </row>
    <row r="16" spans="1:12" ht="24.75" x14ac:dyDescent="0.25">
      <c r="A16" s="6" t="s">
        <v>2698</v>
      </c>
      <c r="B16" s="3" t="s">
        <v>2695</v>
      </c>
      <c r="C16" s="4">
        <v>1</v>
      </c>
      <c r="D16" s="5">
        <v>99</v>
      </c>
      <c r="E16" s="4" t="s">
        <v>2696</v>
      </c>
      <c r="F16" s="3" t="s">
        <v>5532</v>
      </c>
      <c r="G16" s="7" t="s">
        <v>5562</v>
      </c>
      <c r="H16" s="3" t="s">
        <v>7157</v>
      </c>
      <c r="I16" s="3" t="s">
        <v>7158</v>
      </c>
      <c r="J16" s="3" t="s">
        <v>5536</v>
      </c>
      <c r="K16" s="3" t="s">
        <v>5727</v>
      </c>
      <c r="L16" s="8" t="str">
        <f>HYPERLINK("http://slimages.macys.com/is/image/MCY/15704069 ")</f>
        <v xml:space="preserve">http://slimages.macys.com/is/image/MCY/15704069 </v>
      </c>
    </row>
    <row r="17" spans="1:12" ht="24.75" x14ac:dyDescent="0.25">
      <c r="A17" s="6" t="s">
        <v>2699</v>
      </c>
      <c r="B17" s="3" t="s">
        <v>2695</v>
      </c>
      <c r="C17" s="4">
        <v>1</v>
      </c>
      <c r="D17" s="5">
        <v>99</v>
      </c>
      <c r="E17" s="4" t="s">
        <v>2696</v>
      </c>
      <c r="F17" s="3" t="s">
        <v>5540</v>
      </c>
      <c r="G17" s="7" t="s">
        <v>5533</v>
      </c>
      <c r="H17" s="3" t="s">
        <v>7157</v>
      </c>
      <c r="I17" s="3" t="s">
        <v>7158</v>
      </c>
      <c r="J17" s="3" t="s">
        <v>5536</v>
      </c>
      <c r="K17" s="3" t="s">
        <v>5727</v>
      </c>
      <c r="L17" s="8" t="str">
        <f>HYPERLINK("http://slimages.macys.com/is/image/MCY/15704069 ")</f>
        <v xml:space="preserve">http://slimages.macys.com/is/image/MCY/15704069 </v>
      </c>
    </row>
    <row r="18" spans="1:12" ht="24.75" x14ac:dyDescent="0.25">
      <c r="A18" s="6" t="s">
        <v>2700</v>
      </c>
      <c r="B18" s="3" t="s">
        <v>2701</v>
      </c>
      <c r="C18" s="4">
        <v>1</v>
      </c>
      <c r="D18" s="5">
        <v>98.5</v>
      </c>
      <c r="E18" s="4">
        <v>710757421001</v>
      </c>
      <c r="F18" s="3" t="s">
        <v>5552</v>
      </c>
      <c r="G18" s="7" t="s">
        <v>5311</v>
      </c>
      <c r="H18" s="3" t="s">
        <v>5534</v>
      </c>
      <c r="I18" s="3" t="s">
        <v>5535</v>
      </c>
      <c r="J18" s="3" t="s">
        <v>5536</v>
      </c>
      <c r="K18" s="3" t="s">
        <v>5558</v>
      </c>
      <c r="L18" s="8" t="str">
        <f>HYPERLINK("http://slimages.macys.com/is/image/MCY/14412058 ")</f>
        <v xml:space="preserve">http://slimages.macys.com/is/image/MCY/14412058 </v>
      </c>
    </row>
    <row r="19" spans="1:12" ht="24.75" x14ac:dyDescent="0.25">
      <c r="A19" s="6" t="s">
        <v>2702</v>
      </c>
      <c r="B19" s="3" t="s">
        <v>2703</v>
      </c>
      <c r="C19" s="4">
        <v>1</v>
      </c>
      <c r="D19" s="5">
        <v>89.5</v>
      </c>
      <c r="E19" s="4" t="s">
        <v>2704</v>
      </c>
      <c r="F19" s="3" t="s">
        <v>5887</v>
      </c>
      <c r="G19" s="7" t="s">
        <v>5596</v>
      </c>
      <c r="H19" s="3" t="s">
        <v>5715</v>
      </c>
      <c r="I19" s="3" t="s">
        <v>5716</v>
      </c>
      <c r="J19" s="3" t="s">
        <v>5536</v>
      </c>
      <c r="K19" s="3" t="s">
        <v>5549</v>
      </c>
      <c r="L19" s="8" t="str">
        <f>HYPERLINK("http://slimages.macys.com/is/image/MCY/15628857 ")</f>
        <v xml:space="preserve">http://slimages.macys.com/is/image/MCY/15628857 </v>
      </c>
    </row>
    <row r="20" spans="1:12" ht="24.75" x14ac:dyDescent="0.25">
      <c r="A20" s="6" t="s">
        <v>2705</v>
      </c>
      <c r="B20" s="3" t="s">
        <v>2706</v>
      </c>
      <c r="C20" s="4">
        <v>1</v>
      </c>
      <c r="D20" s="5">
        <v>70</v>
      </c>
      <c r="E20" s="4" t="s">
        <v>2707</v>
      </c>
      <c r="F20" s="3" t="s">
        <v>5578</v>
      </c>
      <c r="G20" s="7" t="s">
        <v>6862</v>
      </c>
      <c r="H20" s="3" t="s">
        <v>7211</v>
      </c>
      <c r="I20" s="3" t="s">
        <v>7212</v>
      </c>
      <c r="J20" s="3" t="s">
        <v>5536</v>
      </c>
      <c r="K20" s="3" t="s">
        <v>5594</v>
      </c>
      <c r="L20" s="8" t="str">
        <f>HYPERLINK("http://slimages.macys.com/is/image/MCY/14335939 ")</f>
        <v xml:space="preserve">http://slimages.macys.com/is/image/MCY/14335939 </v>
      </c>
    </row>
    <row r="21" spans="1:12" ht="24.75" x14ac:dyDescent="0.25">
      <c r="A21" s="6" t="s">
        <v>2708</v>
      </c>
      <c r="B21" s="3" t="s">
        <v>2706</v>
      </c>
      <c r="C21" s="4">
        <v>1</v>
      </c>
      <c r="D21" s="5">
        <v>70</v>
      </c>
      <c r="E21" s="4" t="s">
        <v>2707</v>
      </c>
      <c r="F21" s="3" t="s">
        <v>5578</v>
      </c>
      <c r="G21" s="7" t="s">
        <v>5573</v>
      </c>
      <c r="H21" s="3" t="s">
        <v>7211</v>
      </c>
      <c r="I21" s="3" t="s">
        <v>7212</v>
      </c>
      <c r="J21" s="3" t="s">
        <v>5536</v>
      </c>
      <c r="K21" s="3" t="s">
        <v>5594</v>
      </c>
      <c r="L21" s="8" t="str">
        <f>HYPERLINK("http://slimages.macys.com/is/image/MCY/14335939 ")</f>
        <v xml:space="preserve">http://slimages.macys.com/is/image/MCY/14335939 </v>
      </c>
    </row>
    <row r="22" spans="1:12" ht="36.75" x14ac:dyDescent="0.25">
      <c r="A22" s="6" t="s">
        <v>2709</v>
      </c>
      <c r="B22" s="3" t="s">
        <v>2710</v>
      </c>
      <c r="C22" s="4">
        <v>1</v>
      </c>
      <c r="D22" s="5">
        <v>98</v>
      </c>
      <c r="E22" s="4" t="s">
        <v>2711</v>
      </c>
      <c r="F22" s="3" t="s">
        <v>5578</v>
      </c>
      <c r="G22" s="7" t="s">
        <v>2712</v>
      </c>
      <c r="H22" s="3" t="s">
        <v>7088</v>
      </c>
      <c r="I22" s="3" t="s">
        <v>7089</v>
      </c>
      <c r="J22" s="3" t="s">
        <v>5536</v>
      </c>
      <c r="K22" s="3" t="s">
        <v>2713</v>
      </c>
      <c r="L22" s="8" t="str">
        <f>HYPERLINK("http://slimages.macys.com/is/image/MCY/15751829 ")</f>
        <v xml:space="preserve">http://slimages.macys.com/is/image/MCY/15751829 </v>
      </c>
    </row>
    <row r="23" spans="1:12" ht="24.75" x14ac:dyDescent="0.25">
      <c r="A23" s="6" t="s">
        <v>2714</v>
      </c>
      <c r="B23" s="3" t="s">
        <v>2715</v>
      </c>
      <c r="C23" s="4">
        <v>1</v>
      </c>
      <c r="D23" s="5">
        <v>100</v>
      </c>
      <c r="E23" s="4" t="s">
        <v>2716</v>
      </c>
      <c r="F23" s="3" t="s">
        <v>5811</v>
      </c>
      <c r="G23" s="7" t="s">
        <v>5596</v>
      </c>
      <c r="H23" s="3" t="s">
        <v>2687</v>
      </c>
      <c r="I23" s="3" t="s">
        <v>2688</v>
      </c>
      <c r="J23" s="3" t="s">
        <v>5536</v>
      </c>
      <c r="K23" s="3" t="s">
        <v>5553</v>
      </c>
      <c r="L23" s="8" t="str">
        <f>HYPERLINK("http://slimages.macys.com/is/image/MCY/10514841 ")</f>
        <v xml:space="preserve">http://slimages.macys.com/is/image/MCY/10514841 </v>
      </c>
    </row>
    <row r="24" spans="1:12" x14ac:dyDescent="0.25">
      <c r="A24" s="6" t="s">
        <v>2717</v>
      </c>
      <c r="B24" s="3" t="s">
        <v>2718</v>
      </c>
      <c r="C24" s="4">
        <v>1</v>
      </c>
      <c r="D24" s="5">
        <v>149.5</v>
      </c>
      <c r="E24" s="4">
        <v>100076065</v>
      </c>
      <c r="F24" s="3" t="s">
        <v>5540</v>
      </c>
      <c r="G24" s="7" t="s">
        <v>5596</v>
      </c>
      <c r="H24" s="3" t="s">
        <v>5585</v>
      </c>
      <c r="I24" s="3" t="s">
        <v>5586</v>
      </c>
      <c r="J24" s="3" t="s">
        <v>5536</v>
      </c>
      <c r="K24" s="3" t="s">
        <v>5587</v>
      </c>
      <c r="L24" s="8" t="str">
        <f>HYPERLINK("http://slimages.macys.com/is/image/MCY/15387384 ")</f>
        <v xml:space="preserve">http://slimages.macys.com/is/image/MCY/15387384 </v>
      </c>
    </row>
    <row r="25" spans="1:12" ht="48.75" x14ac:dyDescent="0.25">
      <c r="A25" s="6" t="s">
        <v>2719</v>
      </c>
      <c r="B25" s="3" t="s">
        <v>2720</v>
      </c>
      <c r="C25" s="4">
        <v>1</v>
      </c>
      <c r="D25" s="5">
        <v>90</v>
      </c>
      <c r="E25" s="4" t="s">
        <v>2721</v>
      </c>
      <c r="F25" s="3" t="s">
        <v>5540</v>
      </c>
      <c r="G25" s="7" t="s">
        <v>5533</v>
      </c>
      <c r="H25" s="3" t="s">
        <v>2722</v>
      </c>
      <c r="I25" s="3" t="s">
        <v>2723</v>
      </c>
      <c r="J25" s="3" t="s">
        <v>5536</v>
      </c>
      <c r="K25" s="3" t="s">
        <v>2724</v>
      </c>
      <c r="L25" s="8" t="str">
        <f>HYPERLINK("http://slimages.macys.com/is/image/MCY/15209261 ")</f>
        <v xml:space="preserve">http://slimages.macys.com/is/image/MCY/15209261 </v>
      </c>
    </row>
    <row r="26" spans="1:12" ht="48.75" x14ac:dyDescent="0.25">
      <c r="A26" s="6" t="s">
        <v>2725</v>
      </c>
      <c r="B26" s="3" t="s">
        <v>2726</v>
      </c>
      <c r="C26" s="4">
        <v>1</v>
      </c>
      <c r="D26" s="5">
        <v>179.5</v>
      </c>
      <c r="E26" s="4">
        <v>100065145</v>
      </c>
      <c r="F26" s="3" t="s">
        <v>5540</v>
      </c>
      <c r="G26" s="7" t="s">
        <v>5533</v>
      </c>
      <c r="H26" s="3" t="s">
        <v>5585</v>
      </c>
      <c r="I26" s="3" t="s">
        <v>5586</v>
      </c>
      <c r="J26" s="3" t="s">
        <v>5536</v>
      </c>
      <c r="K26" s="3" t="s">
        <v>5266</v>
      </c>
      <c r="L26" s="8" t="str">
        <f>HYPERLINK("http://slimages.macys.com/is/image/MCY/15184348 ")</f>
        <v xml:space="preserve">http://slimages.macys.com/is/image/MCY/15184348 </v>
      </c>
    </row>
    <row r="27" spans="1:12" ht="48.75" x14ac:dyDescent="0.25">
      <c r="A27" s="6" t="s">
        <v>2727</v>
      </c>
      <c r="B27" s="3" t="s">
        <v>2726</v>
      </c>
      <c r="C27" s="4">
        <v>1</v>
      </c>
      <c r="D27" s="5">
        <v>179.5</v>
      </c>
      <c r="E27" s="4">
        <v>100065145</v>
      </c>
      <c r="F27" s="3" t="s">
        <v>5540</v>
      </c>
      <c r="G27" s="7" t="s">
        <v>5562</v>
      </c>
      <c r="H27" s="3" t="s">
        <v>5585</v>
      </c>
      <c r="I27" s="3" t="s">
        <v>5586</v>
      </c>
      <c r="J27" s="3" t="s">
        <v>5536</v>
      </c>
      <c r="K27" s="3" t="s">
        <v>5266</v>
      </c>
      <c r="L27" s="8" t="str">
        <f>HYPERLINK("http://slimages.macys.com/is/image/MCY/15184348 ")</f>
        <v xml:space="preserve">http://slimages.macys.com/is/image/MCY/15184348 </v>
      </c>
    </row>
    <row r="28" spans="1:12" x14ac:dyDescent="0.25">
      <c r="A28" s="6" t="s">
        <v>2728</v>
      </c>
      <c r="B28" s="3" t="s">
        <v>2729</v>
      </c>
      <c r="C28" s="4">
        <v>1</v>
      </c>
      <c r="D28" s="5">
        <v>95</v>
      </c>
      <c r="E28" s="4">
        <v>405750336002</v>
      </c>
      <c r="F28" s="3" t="s">
        <v>5540</v>
      </c>
      <c r="G28" s="7" t="s">
        <v>6491</v>
      </c>
      <c r="H28" s="3" t="s">
        <v>5534</v>
      </c>
      <c r="I28" s="3" t="s">
        <v>2730</v>
      </c>
      <c r="J28" s="3" t="s">
        <v>5536</v>
      </c>
      <c r="K28" s="3" t="s">
        <v>6133</v>
      </c>
      <c r="L28" s="8" t="str">
        <f>HYPERLINK("http://slimages.macys.com/is/image/MCY/14479281 ")</f>
        <v xml:space="preserve">http://slimages.macys.com/is/image/MCY/14479281 </v>
      </c>
    </row>
    <row r="29" spans="1:12" x14ac:dyDescent="0.25">
      <c r="A29" s="6" t="s">
        <v>2731</v>
      </c>
      <c r="B29" s="3" t="s">
        <v>2729</v>
      </c>
      <c r="C29" s="4">
        <v>1</v>
      </c>
      <c r="D29" s="5">
        <v>95</v>
      </c>
      <c r="E29" s="4">
        <v>405750336001</v>
      </c>
      <c r="F29" s="3" t="s">
        <v>5640</v>
      </c>
      <c r="G29" s="7" t="s">
        <v>6491</v>
      </c>
      <c r="H29" s="3" t="s">
        <v>5534</v>
      </c>
      <c r="I29" s="3" t="s">
        <v>2730</v>
      </c>
      <c r="J29" s="3" t="s">
        <v>5536</v>
      </c>
      <c r="K29" s="3" t="s">
        <v>6133</v>
      </c>
      <c r="L29" s="8" t="str">
        <f>HYPERLINK("http://slimages.macys.com/is/image/MCY/14479281 ")</f>
        <v xml:space="preserve">http://slimages.macys.com/is/image/MCY/14479281 </v>
      </c>
    </row>
    <row r="30" spans="1:12" x14ac:dyDescent="0.25">
      <c r="A30" s="6" t="s">
        <v>2732</v>
      </c>
      <c r="B30" s="3" t="s">
        <v>2729</v>
      </c>
      <c r="C30" s="4">
        <v>1</v>
      </c>
      <c r="D30" s="5">
        <v>95</v>
      </c>
      <c r="E30" s="4">
        <v>405750336001</v>
      </c>
      <c r="F30" s="3" t="s">
        <v>5640</v>
      </c>
      <c r="G30" s="7" t="s">
        <v>7103</v>
      </c>
      <c r="H30" s="3" t="s">
        <v>5534</v>
      </c>
      <c r="I30" s="3" t="s">
        <v>2730</v>
      </c>
      <c r="J30" s="3" t="s">
        <v>5536</v>
      </c>
      <c r="K30" s="3" t="s">
        <v>6133</v>
      </c>
      <c r="L30" s="8" t="str">
        <f>HYPERLINK("http://slimages.macys.com/is/image/MCY/14479281 ")</f>
        <v xml:space="preserve">http://slimages.macys.com/is/image/MCY/14479281 </v>
      </c>
    </row>
    <row r="31" spans="1:12" ht="24.75" x14ac:dyDescent="0.25">
      <c r="A31" s="6" t="s">
        <v>2733</v>
      </c>
      <c r="B31" s="3" t="s">
        <v>2734</v>
      </c>
      <c r="C31" s="4">
        <v>1</v>
      </c>
      <c r="D31" s="5">
        <v>189.5</v>
      </c>
      <c r="E31" s="4" t="s">
        <v>2735</v>
      </c>
      <c r="F31" s="3" t="s">
        <v>5540</v>
      </c>
      <c r="G31" s="7" t="s">
        <v>2736</v>
      </c>
      <c r="H31" s="3" t="s">
        <v>5585</v>
      </c>
      <c r="I31" s="3" t="s">
        <v>2737</v>
      </c>
      <c r="J31" s="3" t="s">
        <v>5536</v>
      </c>
      <c r="K31" s="3" t="s">
        <v>5727</v>
      </c>
      <c r="L31" s="8" t="str">
        <f>HYPERLINK("http://slimages.macys.com/is/image/MCY/3817823 ")</f>
        <v xml:space="preserve">http://slimages.macys.com/is/image/MCY/3817823 </v>
      </c>
    </row>
    <row r="32" spans="1:12" ht="24.75" x14ac:dyDescent="0.25">
      <c r="A32" s="6" t="s">
        <v>2738</v>
      </c>
      <c r="B32" s="3" t="s">
        <v>2739</v>
      </c>
      <c r="C32" s="4">
        <v>1</v>
      </c>
      <c r="D32" s="5">
        <v>58.5</v>
      </c>
      <c r="E32" s="4">
        <v>191110127</v>
      </c>
      <c r="F32" s="3" t="s">
        <v>5661</v>
      </c>
      <c r="G32" s="7" t="s">
        <v>5579</v>
      </c>
      <c r="H32" s="3" t="s">
        <v>5606</v>
      </c>
      <c r="I32" s="3" t="s">
        <v>5607</v>
      </c>
      <c r="J32" s="3" t="s">
        <v>5536</v>
      </c>
      <c r="K32" s="3" t="s">
        <v>5641</v>
      </c>
      <c r="L32" s="8" t="str">
        <f>HYPERLINK("http://slimages.macys.com/is/image/MCY/2927814 ")</f>
        <v xml:space="preserve">http://slimages.macys.com/is/image/MCY/2927814 </v>
      </c>
    </row>
    <row r="33" spans="1:12" ht="36.75" x14ac:dyDescent="0.25">
      <c r="A33" s="6" t="s">
        <v>2740</v>
      </c>
      <c r="B33" s="3" t="s">
        <v>2741</v>
      </c>
      <c r="C33" s="4">
        <v>1</v>
      </c>
      <c r="D33" s="5">
        <v>98</v>
      </c>
      <c r="E33" s="4" t="s">
        <v>2742</v>
      </c>
      <c r="F33" s="3" t="s">
        <v>5803</v>
      </c>
      <c r="G33" s="7" t="s">
        <v>5560</v>
      </c>
      <c r="H33" s="3" t="s">
        <v>5617</v>
      </c>
      <c r="I33" s="3" t="s">
        <v>5618</v>
      </c>
      <c r="J33" s="3" t="s">
        <v>5536</v>
      </c>
      <c r="K33" s="3" t="s">
        <v>2743</v>
      </c>
      <c r="L33" s="8" t="str">
        <f>HYPERLINK("http://slimages.macys.com/is/image/MCY/16137701 ")</f>
        <v xml:space="preserve">http://slimages.macys.com/is/image/MCY/16137701 </v>
      </c>
    </row>
    <row r="34" spans="1:12" ht="36.75" x14ac:dyDescent="0.25">
      <c r="A34" s="6" t="s">
        <v>2744</v>
      </c>
      <c r="B34" s="3" t="s">
        <v>2741</v>
      </c>
      <c r="C34" s="4">
        <v>1</v>
      </c>
      <c r="D34" s="5">
        <v>98</v>
      </c>
      <c r="E34" s="4" t="s">
        <v>2742</v>
      </c>
      <c r="F34" s="3" t="s">
        <v>5803</v>
      </c>
      <c r="G34" s="7" t="s">
        <v>5596</v>
      </c>
      <c r="H34" s="3" t="s">
        <v>5617</v>
      </c>
      <c r="I34" s="3" t="s">
        <v>5618</v>
      </c>
      <c r="J34" s="3" t="s">
        <v>5536</v>
      </c>
      <c r="K34" s="3" t="s">
        <v>2743</v>
      </c>
      <c r="L34" s="8" t="str">
        <f>HYPERLINK("http://slimages.macys.com/is/image/MCY/16137701 ")</f>
        <v xml:space="preserve">http://slimages.macys.com/is/image/MCY/16137701 </v>
      </c>
    </row>
    <row r="35" spans="1:12" ht="36.75" x14ac:dyDescent="0.25">
      <c r="A35" s="6" t="s">
        <v>2745</v>
      </c>
      <c r="B35" s="3" t="s">
        <v>2746</v>
      </c>
      <c r="C35" s="4">
        <v>1</v>
      </c>
      <c r="D35" s="5">
        <v>69.989999999999995</v>
      </c>
      <c r="E35" s="4" t="s">
        <v>2747</v>
      </c>
      <c r="F35" s="3" t="s">
        <v>6410</v>
      </c>
      <c r="G35" s="7" t="s">
        <v>5560</v>
      </c>
      <c r="H35" s="3" t="s">
        <v>5617</v>
      </c>
      <c r="I35" s="3" t="s">
        <v>5618</v>
      </c>
      <c r="J35" s="3" t="s">
        <v>5536</v>
      </c>
      <c r="K35" s="3" t="s">
        <v>2748</v>
      </c>
      <c r="L35" s="8" t="str">
        <f>HYPERLINK("http://slimages.macys.com/is/image/MCY/14399564 ")</f>
        <v xml:space="preserve">http://slimages.macys.com/is/image/MCY/14399564 </v>
      </c>
    </row>
    <row r="36" spans="1:12" ht="36.75" x14ac:dyDescent="0.25">
      <c r="A36" s="6" t="s">
        <v>2749</v>
      </c>
      <c r="B36" s="3" t="s">
        <v>2741</v>
      </c>
      <c r="C36" s="4">
        <v>2</v>
      </c>
      <c r="D36" s="5">
        <v>196</v>
      </c>
      <c r="E36" s="4" t="s">
        <v>2742</v>
      </c>
      <c r="F36" s="3" t="s">
        <v>5793</v>
      </c>
      <c r="G36" s="7" t="s">
        <v>5562</v>
      </c>
      <c r="H36" s="3" t="s">
        <v>5617</v>
      </c>
      <c r="I36" s="3" t="s">
        <v>5618</v>
      </c>
      <c r="J36" s="3" t="s">
        <v>5536</v>
      </c>
      <c r="K36" s="3" t="s">
        <v>2743</v>
      </c>
      <c r="L36" s="8" t="str">
        <f>HYPERLINK("http://slimages.macys.com/is/image/MCY/16137701 ")</f>
        <v xml:space="preserve">http://slimages.macys.com/is/image/MCY/16137701 </v>
      </c>
    </row>
    <row r="37" spans="1:12" ht="36.75" x14ac:dyDescent="0.25">
      <c r="A37" s="6" t="s">
        <v>2750</v>
      </c>
      <c r="B37" s="3" t="s">
        <v>2741</v>
      </c>
      <c r="C37" s="4">
        <v>1</v>
      </c>
      <c r="D37" s="5">
        <v>98</v>
      </c>
      <c r="E37" s="4" t="s">
        <v>2742</v>
      </c>
      <c r="F37" s="3" t="s">
        <v>5793</v>
      </c>
      <c r="G37" s="7" t="s">
        <v>5560</v>
      </c>
      <c r="H37" s="3" t="s">
        <v>5617</v>
      </c>
      <c r="I37" s="3" t="s">
        <v>5618</v>
      </c>
      <c r="J37" s="3" t="s">
        <v>5536</v>
      </c>
      <c r="K37" s="3" t="s">
        <v>2743</v>
      </c>
      <c r="L37" s="8" t="str">
        <f>HYPERLINK("http://slimages.macys.com/is/image/MCY/16137701 ")</f>
        <v xml:space="preserve">http://slimages.macys.com/is/image/MCY/16137701 </v>
      </c>
    </row>
    <row r="38" spans="1:12" ht="36.75" x14ac:dyDescent="0.25">
      <c r="A38" s="6" t="s">
        <v>2751</v>
      </c>
      <c r="B38" s="3" t="s">
        <v>2741</v>
      </c>
      <c r="C38" s="4">
        <v>1</v>
      </c>
      <c r="D38" s="5">
        <v>98</v>
      </c>
      <c r="E38" s="4" t="s">
        <v>2742</v>
      </c>
      <c r="F38" s="3" t="s">
        <v>5793</v>
      </c>
      <c r="G38" s="7" t="s">
        <v>5533</v>
      </c>
      <c r="H38" s="3" t="s">
        <v>5617</v>
      </c>
      <c r="I38" s="3" t="s">
        <v>5618</v>
      </c>
      <c r="J38" s="3" t="s">
        <v>5536</v>
      </c>
      <c r="K38" s="3" t="s">
        <v>2743</v>
      </c>
      <c r="L38" s="8" t="str">
        <f>HYPERLINK("http://slimages.macys.com/is/image/MCY/16137701 ")</f>
        <v xml:space="preserve">http://slimages.macys.com/is/image/MCY/16137701 </v>
      </c>
    </row>
    <row r="39" spans="1:12" ht="36.75" x14ac:dyDescent="0.25">
      <c r="A39" s="6" t="s">
        <v>2752</v>
      </c>
      <c r="B39" s="3" t="s">
        <v>2741</v>
      </c>
      <c r="C39" s="4">
        <v>1</v>
      </c>
      <c r="D39" s="5">
        <v>98</v>
      </c>
      <c r="E39" s="4" t="s">
        <v>2742</v>
      </c>
      <c r="F39" s="3" t="s">
        <v>6496</v>
      </c>
      <c r="G39" s="7" t="s">
        <v>5533</v>
      </c>
      <c r="H39" s="3" t="s">
        <v>5617</v>
      </c>
      <c r="I39" s="3" t="s">
        <v>5618</v>
      </c>
      <c r="J39" s="3" t="s">
        <v>5536</v>
      </c>
      <c r="K39" s="3" t="s">
        <v>2743</v>
      </c>
      <c r="L39" s="8" t="str">
        <f>HYPERLINK("http://slimages.macys.com/is/image/MCY/16137701 ")</f>
        <v xml:space="preserve">http://slimages.macys.com/is/image/MCY/16137701 </v>
      </c>
    </row>
    <row r="40" spans="1:12" ht="36.75" x14ac:dyDescent="0.25">
      <c r="A40" s="6" t="s">
        <v>2753</v>
      </c>
      <c r="B40" s="3" t="s">
        <v>2746</v>
      </c>
      <c r="C40" s="4">
        <v>1</v>
      </c>
      <c r="D40" s="5">
        <v>69.989999999999995</v>
      </c>
      <c r="E40" s="4" t="s">
        <v>2747</v>
      </c>
      <c r="F40" s="3" t="s">
        <v>6410</v>
      </c>
      <c r="G40" s="7" t="s">
        <v>5598</v>
      </c>
      <c r="H40" s="3" t="s">
        <v>5617</v>
      </c>
      <c r="I40" s="3" t="s">
        <v>5618</v>
      </c>
      <c r="J40" s="3" t="s">
        <v>5536</v>
      </c>
      <c r="K40" s="3" t="s">
        <v>2748</v>
      </c>
      <c r="L40" s="8" t="str">
        <f>HYPERLINK("http://slimages.macys.com/is/image/MCY/14399564 ")</f>
        <v xml:space="preserve">http://slimages.macys.com/is/image/MCY/14399564 </v>
      </c>
    </row>
    <row r="41" spans="1:12" ht="36.75" x14ac:dyDescent="0.25">
      <c r="A41" s="6" t="s">
        <v>2754</v>
      </c>
      <c r="B41" s="3" t="s">
        <v>2741</v>
      </c>
      <c r="C41" s="4">
        <v>2</v>
      </c>
      <c r="D41" s="5">
        <v>196</v>
      </c>
      <c r="E41" s="4" t="s">
        <v>2742</v>
      </c>
      <c r="F41" s="3" t="s">
        <v>5793</v>
      </c>
      <c r="G41" s="7" t="s">
        <v>5596</v>
      </c>
      <c r="H41" s="3" t="s">
        <v>5617</v>
      </c>
      <c r="I41" s="3" t="s">
        <v>5618</v>
      </c>
      <c r="J41" s="3" t="s">
        <v>5536</v>
      </c>
      <c r="K41" s="3" t="s">
        <v>2743</v>
      </c>
      <c r="L41" s="8" t="str">
        <f>HYPERLINK("http://slimages.macys.com/is/image/MCY/16137701 ")</f>
        <v xml:space="preserve">http://slimages.macys.com/is/image/MCY/16137701 </v>
      </c>
    </row>
    <row r="42" spans="1:12" ht="24.75" x14ac:dyDescent="0.25">
      <c r="A42" s="6" t="s">
        <v>2755</v>
      </c>
      <c r="B42" s="3" t="s">
        <v>2756</v>
      </c>
      <c r="C42" s="4">
        <v>1</v>
      </c>
      <c r="D42" s="5">
        <v>65</v>
      </c>
      <c r="E42" s="4" t="s">
        <v>2757</v>
      </c>
      <c r="F42" s="3" t="s">
        <v>5604</v>
      </c>
      <c r="G42" s="7" t="s">
        <v>5562</v>
      </c>
      <c r="H42" s="3" t="s">
        <v>4379</v>
      </c>
      <c r="I42" s="3" t="s">
        <v>5296</v>
      </c>
      <c r="J42" s="3" t="s">
        <v>5536</v>
      </c>
      <c r="K42" s="3" t="s">
        <v>5727</v>
      </c>
      <c r="L42" s="8" t="str">
        <f>HYPERLINK("http://slimages.macys.com/is/image/MCY/13893676 ")</f>
        <v xml:space="preserve">http://slimages.macys.com/is/image/MCY/13893676 </v>
      </c>
    </row>
    <row r="43" spans="1:12" ht="24.75" x14ac:dyDescent="0.25">
      <c r="A43" s="6" t="s">
        <v>5663</v>
      </c>
      <c r="B43" s="3" t="s">
        <v>5664</v>
      </c>
      <c r="C43" s="4">
        <v>1</v>
      </c>
      <c r="D43" s="5">
        <v>53.5</v>
      </c>
      <c r="E43" s="4">
        <v>45113795</v>
      </c>
      <c r="F43" s="3" t="s">
        <v>5661</v>
      </c>
      <c r="G43" s="7" t="s">
        <v>5605</v>
      </c>
      <c r="H43" s="3" t="s">
        <v>5606</v>
      </c>
      <c r="I43" s="3" t="s">
        <v>5607</v>
      </c>
      <c r="J43" s="3" t="s">
        <v>5536</v>
      </c>
      <c r="K43" s="3" t="s">
        <v>5641</v>
      </c>
      <c r="L43" s="8" t="str">
        <f>HYPERLINK("http://slimages.macys.com/is/image/MCY/15106523 ")</f>
        <v xml:space="preserve">http://slimages.macys.com/is/image/MCY/15106523 </v>
      </c>
    </row>
    <row r="44" spans="1:12" x14ac:dyDescent="0.25">
      <c r="A44" s="6" t="s">
        <v>2758</v>
      </c>
      <c r="B44" s="3" t="s">
        <v>2759</v>
      </c>
      <c r="C44" s="4">
        <v>1</v>
      </c>
      <c r="D44" s="5">
        <v>53.5</v>
      </c>
      <c r="E44" s="4">
        <v>795100010</v>
      </c>
      <c r="F44" s="3" t="s">
        <v>5552</v>
      </c>
      <c r="G44" s="7" t="s">
        <v>5656</v>
      </c>
      <c r="H44" s="3" t="s">
        <v>5606</v>
      </c>
      <c r="I44" s="3" t="s">
        <v>5607</v>
      </c>
      <c r="J44" s="3" t="s">
        <v>5536</v>
      </c>
      <c r="K44" s="3" t="s">
        <v>5558</v>
      </c>
      <c r="L44" s="8" t="str">
        <f>HYPERLINK("http://slimages.macys.com/is/image/MCY/13042766 ")</f>
        <v xml:space="preserve">http://slimages.macys.com/is/image/MCY/13042766 </v>
      </c>
    </row>
    <row r="45" spans="1:12" ht="24.75" x14ac:dyDescent="0.25">
      <c r="A45" s="6" t="s">
        <v>2760</v>
      </c>
      <c r="B45" s="3" t="s">
        <v>5671</v>
      </c>
      <c r="C45" s="4">
        <v>1</v>
      </c>
      <c r="D45" s="5">
        <v>53.5</v>
      </c>
      <c r="E45" s="4">
        <v>45113110</v>
      </c>
      <c r="F45" s="3" t="s">
        <v>5578</v>
      </c>
      <c r="G45" s="7" t="s">
        <v>5680</v>
      </c>
      <c r="H45" s="3" t="s">
        <v>5606</v>
      </c>
      <c r="I45" s="3" t="s">
        <v>5607</v>
      </c>
      <c r="J45" s="3" t="s">
        <v>5536</v>
      </c>
      <c r="K45" s="3" t="s">
        <v>5641</v>
      </c>
      <c r="L45" s="8" t="str">
        <f>HYPERLINK("http://slimages.macys.com/is/image/MCY/14606494 ")</f>
        <v xml:space="preserve">http://slimages.macys.com/is/image/MCY/14606494 </v>
      </c>
    </row>
    <row r="46" spans="1:12" ht="24.75" x14ac:dyDescent="0.25">
      <c r="A46" s="6" t="s">
        <v>2761</v>
      </c>
      <c r="B46" s="3" t="s">
        <v>5647</v>
      </c>
      <c r="C46" s="4">
        <v>1</v>
      </c>
      <c r="D46" s="5">
        <v>53.5</v>
      </c>
      <c r="E46" s="4">
        <v>45113016</v>
      </c>
      <c r="F46" s="3" t="s">
        <v>5540</v>
      </c>
      <c r="G46" s="7" t="s">
        <v>5694</v>
      </c>
      <c r="H46" s="3" t="s">
        <v>5606</v>
      </c>
      <c r="I46" s="3" t="s">
        <v>5607</v>
      </c>
      <c r="J46" s="3" t="s">
        <v>5536</v>
      </c>
      <c r="K46" s="3" t="s">
        <v>5641</v>
      </c>
      <c r="L46" s="8" t="str">
        <f>HYPERLINK("http://slimages.macys.com/is/image/MCY/14606494 ")</f>
        <v xml:space="preserve">http://slimages.macys.com/is/image/MCY/14606494 </v>
      </c>
    </row>
    <row r="47" spans="1:12" ht="24.75" x14ac:dyDescent="0.25">
      <c r="A47" s="6" t="s">
        <v>2762</v>
      </c>
      <c r="B47" s="3" t="s">
        <v>5671</v>
      </c>
      <c r="C47" s="4">
        <v>1</v>
      </c>
      <c r="D47" s="5">
        <v>53.5</v>
      </c>
      <c r="E47" s="4">
        <v>45113110</v>
      </c>
      <c r="F47" s="3" t="s">
        <v>5578</v>
      </c>
      <c r="G47" s="7" t="s">
        <v>5658</v>
      </c>
      <c r="H47" s="3" t="s">
        <v>5606</v>
      </c>
      <c r="I47" s="3" t="s">
        <v>5607</v>
      </c>
      <c r="J47" s="3" t="s">
        <v>5536</v>
      </c>
      <c r="K47" s="3" t="s">
        <v>5641</v>
      </c>
      <c r="L47" s="8" t="str">
        <f>HYPERLINK("http://slimages.macys.com/is/image/MCY/14606494 ")</f>
        <v xml:space="preserve">http://slimages.macys.com/is/image/MCY/14606494 </v>
      </c>
    </row>
    <row r="48" spans="1:12" ht="24.75" x14ac:dyDescent="0.25">
      <c r="A48" s="6" t="s">
        <v>2763</v>
      </c>
      <c r="B48" s="3" t="s">
        <v>5671</v>
      </c>
      <c r="C48" s="4">
        <v>2</v>
      </c>
      <c r="D48" s="5">
        <v>107</v>
      </c>
      <c r="E48" s="4">
        <v>45113110</v>
      </c>
      <c r="F48" s="3" t="s">
        <v>5578</v>
      </c>
      <c r="G48" s="7" t="s">
        <v>2764</v>
      </c>
      <c r="H48" s="3" t="s">
        <v>5606</v>
      </c>
      <c r="I48" s="3" t="s">
        <v>5607</v>
      </c>
      <c r="J48" s="3" t="s">
        <v>5536</v>
      </c>
      <c r="K48" s="3" t="s">
        <v>5641</v>
      </c>
      <c r="L48" s="8" t="str">
        <f>HYPERLINK("http://slimages.macys.com/is/image/MCY/14606494 ")</f>
        <v xml:space="preserve">http://slimages.macys.com/is/image/MCY/14606494 </v>
      </c>
    </row>
    <row r="49" spans="1:12" ht="24.75" x14ac:dyDescent="0.25">
      <c r="A49" s="6" t="s">
        <v>2765</v>
      </c>
      <c r="B49" s="3" t="s">
        <v>5647</v>
      </c>
      <c r="C49" s="4">
        <v>1</v>
      </c>
      <c r="D49" s="5">
        <v>53.5</v>
      </c>
      <c r="E49" s="4">
        <v>45113016</v>
      </c>
      <c r="F49" s="3" t="s">
        <v>5540</v>
      </c>
      <c r="G49" s="7" t="s">
        <v>5557</v>
      </c>
      <c r="H49" s="3" t="s">
        <v>5606</v>
      </c>
      <c r="I49" s="3" t="s">
        <v>5607</v>
      </c>
      <c r="J49" s="3" t="s">
        <v>5536</v>
      </c>
      <c r="K49" s="3" t="s">
        <v>5641</v>
      </c>
      <c r="L49" s="8" t="str">
        <f>HYPERLINK("http://slimages.macys.com/is/image/MCY/14606494 ")</f>
        <v xml:space="preserve">http://slimages.macys.com/is/image/MCY/14606494 </v>
      </c>
    </row>
    <row r="50" spans="1:12" x14ac:dyDescent="0.25">
      <c r="A50" s="6" t="s">
        <v>2766</v>
      </c>
      <c r="B50" s="3" t="s">
        <v>2767</v>
      </c>
      <c r="C50" s="4">
        <v>1</v>
      </c>
      <c r="D50" s="5">
        <v>53.5</v>
      </c>
      <c r="E50" s="4">
        <v>5141287</v>
      </c>
      <c r="F50" s="3" t="s">
        <v>5661</v>
      </c>
      <c r="G50" s="7" t="s">
        <v>5656</v>
      </c>
      <c r="H50" s="3" t="s">
        <v>5606</v>
      </c>
      <c r="I50" s="3" t="s">
        <v>5607</v>
      </c>
      <c r="J50" s="3" t="s">
        <v>5536</v>
      </c>
      <c r="K50" s="3" t="s">
        <v>5558</v>
      </c>
      <c r="L50" s="8" t="str">
        <f>HYPERLINK("http://slimages.macys.com/is/image/MCY/15103917 ")</f>
        <v xml:space="preserve">http://slimages.macys.com/is/image/MCY/15103917 </v>
      </c>
    </row>
    <row r="51" spans="1:12" ht="24.75" x14ac:dyDescent="0.25">
      <c r="A51" s="6" t="s">
        <v>2768</v>
      </c>
      <c r="B51" s="3" t="s">
        <v>5664</v>
      </c>
      <c r="C51" s="4">
        <v>1</v>
      </c>
      <c r="D51" s="5">
        <v>53.5</v>
      </c>
      <c r="E51" s="4">
        <v>45113795</v>
      </c>
      <c r="F51" s="3" t="s">
        <v>5661</v>
      </c>
      <c r="G51" s="7" t="s">
        <v>5579</v>
      </c>
      <c r="H51" s="3" t="s">
        <v>5606</v>
      </c>
      <c r="I51" s="3" t="s">
        <v>5607</v>
      </c>
      <c r="J51" s="3" t="s">
        <v>5536</v>
      </c>
      <c r="K51" s="3" t="s">
        <v>5641</v>
      </c>
      <c r="L51" s="8" t="str">
        <f>HYPERLINK("http://slimages.macys.com/is/image/MCY/15106523 ")</f>
        <v xml:space="preserve">http://slimages.macys.com/is/image/MCY/15106523 </v>
      </c>
    </row>
    <row r="52" spans="1:12" ht="24.75" x14ac:dyDescent="0.25">
      <c r="A52" s="6" t="s">
        <v>2769</v>
      </c>
      <c r="B52" s="3" t="s">
        <v>2770</v>
      </c>
      <c r="C52" s="4">
        <v>1</v>
      </c>
      <c r="D52" s="5">
        <v>53.5</v>
      </c>
      <c r="E52" s="4">
        <v>131510139</v>
      </c>
      <c r="F52" s="3" t="s">
        <v>5532</v>
      </c>
      <c r="G52" s="7" t="s">
        <v>5658</v>
      </c>
      <c r="H52" s="3" t="s">
        <v>5606</v>
      </c>
      <c r="I52" s="3" t="s">
        <v>5607</v>
      </c>
      <c r="J52" s="3" t="s">
        <v>5536</v>
      </c>
      <c r="K52" s="3" t="s">
        <v>5558</v>
      </c>
      <c r="L52" s="8" t="str">
        <f>HYPERLINK("http://slimages.macys.com/is/image/MCY/2977507 ")</f>
        <v xml:space="preserve">http://slimages.macys.com/is/image/MCY/2977507 </v>
      </c>
    </row>
    <row r="53" spans="1:12" x14ac:dyDescent="0.25">
      <c r="A53" s="6" t="s">
        <v>2771</v>
      </c>
      <c r="B53" s="3" t="s">
        <v>2772</v>
      </c>
      <c r="C53" s="4">
        <v>1</v>
      </c>
      <c r="D53" s="5">
        <v>53.5</v>
      </c>
      <c r="E53" s="4">
        <v>5140459</v>
      </c>
      <c r="F53" s="3" t="s">
        <v>5783</v>
      </c>
      <c r="G53" s="7" t="s">
        <v>5622</v>
      </c>
      <c r="H53" s="3" t="s">
        <v>5606</v>
      </c>
      <c r="I53" s="3" t="s">
        <v>5607</v>
      </c>
      <c r="J53" s="3" t="s">
        <v>5536</v>
      </c>
      <c r="K53" s="3" t="s">
        <v>5558</v>
      </c>
      <c r="L53" s="8" t="str">
        <f>HYPERLINK("http://slimages.macys.com/is/image/MCY/15103917 ")</f>
        <v xml:space="preserve">http://slimages.macys.com/is/image/MCY/15103917 </v>
      </c>
    </row>
    <row r="54" spans="1:12" x14ac:dyDescent="0.25">
      <c r="A54" s="6" t="s">
        <v>2773</v>
      </c>
      <c r="B54" s="3" t="s">
        <v>2759</v>
      </c>
      <c r="C54" s="4">
        <v>1</v>
      </c>
      <c r="D54" s="5">
        <v>53.5</v>
      </c>
      <c r="E54" s="4">
        <v>795100010</v>
      </c>
      <c r="F54" s="3" t="s">
        <v>5552</v>
      </c>
      <c r="G54" s="7" t="s">
        <v>5650</v>
      </c>
      <c r="H54" s="3" t="s">
        <v>5606</v>
      </c>
      <c r="I54" s="3" t="s">
        <v>5607</v>
      </c>
      <c r="J54" s="3" t="s">
        <v>5536</v>
      </c>
      <c r="K54" s="3" t="s">
        <v>5558</v>
      </c>
      <c r="L54" s="8" t="str">
        <f>HYPERLINK("http://slimages.macys.com/is/image/MCY/13042766 ")</f>
        <v xml:space="preserve">http://slimages.macys.com/is/image/MCY/13042766 </v>
      </c>
    </row>
    <row r="55" spans="1:12" ht="24.75" x14ac:dyDescent="0.25">
      <c r="A55" s="6" t="s">
        <v>2774</v>
      </c>
      <c r="B55" s="3" t="s">
        <v>5633</v>
      </c>
      <c r="C55" s="4">
        <v>1</v>
      </c>
      <c r="D55" s="5">
        <v>53.5</v>
      </c>
      <c r="E55" s="4">
        <v>131510085</v>
      </c>
      <c r="F55" s="3" t="s">
        <v>5634</v>
      </c>
      <c r="G55" s="7" t="s">
        <v>5605</v>
      </c>
      <c r="H55" s="3" t="s">
        <v>5606</v>
      </c>
      <c r="I55" s="3" t="s">
        <v>5607</v>
      </c>
      <c r="J55" s="3" t="s">
        <v>5536</v>
      </c>
      <c r="K55" s="3" t="s">
        <v>5558</v>
      </c>
      <c r="L55" s="8" t="str">
        <f>HYPERLINK("http://slimages.macys.com/is/image/MCY/2977507 ")</f>
        <v xml:space="preserve">http://slimages.macys.com/is/image/MCY/2977507 </v>
      </c>
    </row>
    <row r="56" spans="1:12" x14ac:dyDescent="0.25">
      <c r="A56" s="6" t="s">
        <v>2775</v>
      </c>
      <c r="B56" s="3" t="s">
        <v>2776</v>
      </c>
      <c r="C56" s="4">
        <v>1</v>
      </c>
      <c r="D56" s="5">
        <v>129.5</v>
      </c>
      <c r="E56" s="4">
        <v>100063639</v>
      </c>
      <c r="F56" s="3" t="s">
        <v>5540</v>
      </c>
      <c r="G56" s="7" t="s">
        <v>5560</v>
      </c>
      <c r="H56" s="3" t="s">
        <v>5585</v>
      </c>
      <c r="I56" s="3" t="s">
        <v>5734</v>
      </c>
      <c r="J56" s="3" t="s">
        <v>5536</v>
      </c>
      <c r="K56" s="3" t="s">
        <v>5727</v>
      </c>
      <c r="L56" s="8" t="str">
        <f>HYPERLINK("http://slimages.macys.com/is/image/MCY/14634115 ")</f>
        <v xml:space="preserve">http://slimages.macys.com/is/image/MCY/14634115 </v>
      </c>
    </row>
    <row r="57" spans="1:12" ht="24.75" x14ac:dyDescent="0.25">
      <c r="A57" s="6" t="s">
        <v>2777</v>
      </c>
      <c r="B57" s="3" t="s">
        <v>5712</v>
      </c>
      <c r="C57" s="4">
        <v>1</v>
      </c>
      <c r="D57" s="5">
        <v>69.5</v>
      </c>
      <c r="E57" s="4" t="s">
        <v>5713</v>
      </c>
      <c r="F57" s="3" t="s">
        <v>5714</v>
      </c>
      <c r="G57" s="7" t="s">
        <v>5560</v>
      </c>
      <c r="H57" s="3" t="s">
        <v>5715</v>
      </c>
      <c r="I57" s="3" t="s">
        <v>5716</v>
      </c>
      <c r="J57" s="3" t="s">
        <v>5536</v>
      </c>
      <c r="K57" s="3" t="s">
        <v>5549</v>
      </c>
      <c r="L57" s="8" t="str">
        <f>HYPERLINK("http://slimages.macys.com/is/image/MCY/14715850 ")</f>
        <v xml:space="preserve">http://slimages.macys.com/is/image/MCY/14715850 </v>
      </c>
    </row>
    <row r="58" spans="1:12" ht="24.75" x14ac:dyDescent="0.25">
      <c r="A58" s="6" t="s">
        <v>5354</v>
      </c>
      <c r="B58" s="3" t="s">
        <v>5725</v>
      </c>
      <c r="C58" s="4">
        <v>1</v>
      </c>
      <c r="D58" s="5">
        <v>60</v>
      </c>
      <c r="E58" s="4">
        <v>1345612</v>
      </c>
      <c r="F58" s="3" t="s">
        <v>5625</v>
      </c>
      <c r="G58" s="7" t="s">
        <v>5560</v>
      </c>
      <c r="H58" s="3" t="s">
        <v>5726</v>
      </c>
      <c r="I58" s="3" t="s">
        <v>5726</v>
      </c>
      <c r="J58" s="3" t="s">
        <v>5536</v>
      </c>
      <c r="K58" s="3" t="s">
        <v>5727</v>
      </c>
      <c r="L58" s="8" t="str">
        <f>HYPERLINK("http://slimages.macys.com/is/image/MCY/14465936 ")</f>
        <v xml:space="preserve">http://slimages.macys.com/is/image/MCY/14465936 </v>
      </c>
    </row>
    <row r="59" spans="1:12" x14ac:dyDescent="0.25">
      <c r="A59" s="6" t="s">
        <v>2778</v>
      </c>
      <c r="B59" s="3" t="s">
        <v>4671</v>
      </c>
      <c r="C59" s="4">
        <v>1</v>
      </c>
      <c r="D59" s="5">
        <v>44.99</v>
      </c>
      <c r="E59" s="4">
        <v>135810010</v>
      </c>
      <c r="F59" s="3" t="s">
        <v>5540</v>
      </c>
      <c r="G59" s="7" t="s">
        <v>5852</v>
      </c>
      <c r="H59" s="3" t="s">
        <v>5606</v>
      </c>
      <c r="I59" s="3" t="s">
        <v>5607</v>
      </c>
      <c r="J59" s="3" t="s">
        <v>5536</v>
      </c>
      <c r="K59" s="3" t="s">
        <v>5574</v>
      </c>
      <c r="L59" s="8" t="str">
        <f>HYPERLINK("http://slimages.macys.com/is/image/MCY/1973529 ")</f>
        <v xml:space="preserve">http://slimages.macys.com/is/image/MCY/1973529 </v>
      </c>
    </row>
    <row r="60" spans="1:12" ht="36.75" x14ac:dyDescent="0.25">
      <c r="A60" s="6" t="s">
        <v>2779</v>
      </c>
      <c r="B60" s="3" t="s">
        <v>2780</v>
      </c>
      <c r="C60" s="4">
        <v>1</v>
      </c>
      <c r="D60" s="5">
        <v>99.5</v>
      </c>
      <c r="E60" s="4">
        <v>100075438</v>
      </c>
      <c r="F60" s="3" t="s">
        <v>5578</v>
      </c>
      <c r="G60" s="7" t="s">
        <v>5733</v>
      </c>
      <c r="H60" s="3" t="s">
        <v>5585</v>
      </c>
      <c r="I60" s="3" t="s">
        <v>5734</v>
      </c>
      <c r="J60" s="3" t="s">
        <v>5536</v>
      </c>
      <c r="K60" s="3" t="s">
        <v>2781</v>
      </c>
      <c r="L60" s="8" t="str">
        <f>HYPERLINK("http://slimages.macys.com/is/image/MCY/15185038 ")</f>
        <v xml:space="preserve">http://slimages.macys.com/is/image/MCY/15185038 </v>
      </c>
    </row>
    <row r="61" spans="1:12" ht="36.75" x14ac:dyDescent="0.25">
      <c r="A61" s="6" t="s">
        <v>2782</v>
      </c>
      <c r="B61" s="3" t="s">
        <v>2780</v>
      </c>
      <c r="C61" s="4">
        <v>2</v>
      </c>
      <c r="D61" s="5">
        <v>199</v>
      </c>
      <c r="E61" s="4">
        <v>100075438</v>
      </c>
      <c r="F61" s="3" t="s">
        <v>5578</v>
      </c>
      <c r="G61" s="7" t="s">
        <v>5562</v>
      </c>
      <c r="H61" s="3" t="s">
        <v>5585</v>
      </c>
      <c r="I61" s="3" t="s">
        <v>5734</v>
      </c>
      <c r="J61" s="3" t="s">
        <v>5536</v>
      </c>
      <c r="K61" s="3" t="s">
        <v>2781</v>
      </c>
      <c r="L61" s="8" t="str">
        <f>HYPERLINK("http://slimages.macys.com/is/image/MCY/15185038 ")</f>
        <v xml:space="preserve">http://slimages.macys.com/is/image/MCY/15185038 </v>
      </c>
    </row>
    <row r="62" spans="1:12" ht="24.75" x14ac:dyDescent="0.25">
      <c r="A62" s="6" t="s">
        <v>2783</v>
      </c>
      <c r="B62" s="3" t="s">
        <v>2784</v>
      </c>
      <c r="C62" s="4">
        <v>1</v>
      </c>
      <c r="D62" s="5">
        <v>55</v>
      </c>
      <c r="E62" s="4" t="s">
        <v>2785</v>
      </c>
      <c r="F62" s="3" t="s">
        <v>5803</v>
      </c>
      <c r="G62" s="7" t="s">
        <v>5596</v>
      </c>
      <c r="H62" s="3" t="s">
        <v>4379</v>
      </c>
      <c r="I62" s="3" t="s">
        <v>5296</v>
      </c>
      <c r="J62" s="3" t="s">
        <v>5536</v>
      </c>
      <c r="K62" s="3" t="s">
        <v>5353</v>
      </c>
      <c r="L62" s="8" t="str">
        <f>HYPERLINK("http://slimages.macys.com/is/image/MCY/11523842 ")</f>
        <v xml:space="preserve">http://slimages.macys.com/is/image/MCY/11523842 </v>
      </c>
    </row>
    <row r="63" spans="1:12" ht="24.75" x14ac:dyDescent="0.25">
      <c r="A63" s="6" t="s">
        <v>2786</v>
      </c>
      <c r="B63" s="3" t="s">
        <v>2787</v>
      </c>
      <c r="C63" s="4">
        <v>1</v>
      </c>
      <c r="D63" s="5">
        <v>75</v>
      </c>
      <c r="E63" s="4">
        <v>405749503003</v>
      </c>
      <c r="F63" s="3" t="s">
        <v>5593</v>
      </c>
      <c r="G63" s="7" t="s">
        <v>4491</v>
      </c>
      <c r="H63" s="3" t="s">
        <v>5534</v>
      </c>
      <c r="I63" s="3" t="s">
        <v>2730</v>
      </c>
      <c r="J63" s="3" t="s">
        <v>5536</v>
      </c>
      <c r="K63" s="3" t="s">
        <v>2788</v>
      </c>
      <c r="L63" s="8" t="str">
        <f>HYPERLINK("http://slimages.macys.com/is/image/MCY/14448644 ")</f>
        <v xml:space="preserve">http://slimages.macys.com/is/image/MCY/14448644 </v>
      </c>
    </row>
    <row r="64" spans="1:12" ht="24.75" x14ac:dyDescent="0.25">
      <c r="A64" s="6" t="s">
        <v>2789</v>
      </c>
      <c r="B64" s="3" t="s">
        <v>2790</v>
      </c>
      <c r="C64" s="4">
        <v>1</v>
      </c>
      <c r="D64" s="5">
        <v>85</v>
      </c>
      <c r="E64" s="4" t="s">
        <v>2791</v>
      </c>
      <c r="F64" s="3" t="s">
        <v>5532</v>
      </c>
      <c r="G64" s="7" t="s">
        <v>5598</v>
      </c>
      <c r="H64" s="3" t="s">
        <v>2792</v>
      </c>
      <c r="I64" s="3" t="s">
        <v>2793</v>
      </c>
      <c r="J64" s="3" t="s">
        <v>5536</v>
      </c>
      <c r="K64" s="3" t="s">
        <v>5553</v>
      </c>
      <c r="L64" s="8" t="str">
        <f>HYPERLINK("http://slimages.macys.com/is/image/MCY/15910529 ")</f>
        <v xml:space="preserve">http://slimages.macys.com/is/image/MCY/15910529 </v>
      </c>
    </row>
    <row r="65" spans="1:12" x14ac:dyDescent="0.25">
      <c r="A65" s="6" t="s">
        <v>2794</v>
      </c>
      <c r="B65" s="3" t="s">
        <v>2795</v>
      </c>
      <c r="C65" s="4">
        <v>1</v>
      </c>
      <c r="D65" s="5">
        <v>75</v>
      </c>
      <c r="E65" s="4">
        <v>405688071001</v>
      </c>
      <c r="F65" s="3" t="s">
        <v>5640</v>
      </c>
      <c r="G65" s="7" t="s">
        <v>7103</v>
      </c>
      <c r="H65" s="3" t="s">
        <v>5534</v>
      </c>
      <c r="I65" s="3" t="s">
        <v>2730</v>
      </c>
      <c r="J65" s="3" t="s">
        <v>5536</v>
      </c>
      <c r="K65" s="3" t="s">
        <v>6133</v>
      </c>
      <c r="L65" s="8" t="str">
        <f>HYPERLINK("http://slimages.macys.com/is/image/MCY/14128892 ")</f>
        <v xml:space="preserve">http://slimages.macys.com/is/image/MCY/14128892 </v>
      </c>
    </row>
    <row r="66" spans="1:12" ht="24.75" x14ac:dyDescent="0.25">
      <c r="A66" s="6" t="s">
        <v>2796</v>
      </c>
      <c r="B66" s="3" t="s">
        <v>2787</v>
      </c>
      <c r="C66" s="4">
        <v>1</v>
      </c>
      <c r="D66" s="5">
        <v>75</v>
      </c>
      <c r="E66" s="4">
        <v>405749503003</v>
      </c>
      <c r="F66" s="3" t="s">
        <v>5593</v>
      </c>
      <c r="G66" s="7" t="s">
        <v>6626</v>
      </c>
      <c r="H66" s="3" t="s">
        <v>5534</v>
      </c>
      <c r="I66" s="3" t="s">
        <v>2730</v>
      </c>
      <c r="J66" s="3" t="s">
        <v>5536</v>
      </c>
      <c r="K66" s="3" t="s">
        <v>2788</v>
      </c>
      <c r="L66" s="8" t="str">
        <f>HYPERLINK("http://slimages.macys.com/is/image/MCY/14448644 ")</f>
        <v xml:space="preserve">http://slimages.macys.com/is/image/MCY/14448644 </v>
      </c>
    </row>
    <row r="67" spans="1:12" x14ac:dyDescent="0.25">
      <c r="A67" s="6" t="s">
        <v>2797</v>
      </c>
      <c r="B67" s="3" t="s">
        <v>2795</v>
      </c>
      <c r="C67" s="4">
        <v>1</v>
      </c>
      <c r="D67" s="5">
        <v>75</v>
      </c>
      <c r="E67" s="4">
        <v>405688071001</v>
      </c>
      <c r="F67" s="3" t="s">
        <v>5640</v>
      </c>
      <c r="G67" s="7" t="s">
        <v>6500</v>
      </c>
      <c r="H67" s="3" t="s">
        <v>5534</v>
      </c>
      <c r="I67" s="3" t="s">
        <v>2730</v>
      </c>
      <c r="J67" s="3" t="s">
        <v>5536</v>
      </c>
      <c r="K67" s="3" t="s">
        <v>6133</v>
      </c>
      <c r="L67" s="8" t="str">
        <f>HYPERLINK("http://slimages.macys.com/is/image/MCY/14128892 ")</f>
        <v xml:space="preserve">http://slimages.macys.com/is/image/MCY/14128892 </v>
      </c>
    </row>
    <row r="68" spans="1:12" ht="24.75" x14ac:dyDescent="0.25">
      <c r="A68" s="6" t="s">
        <v>2798</v>
      </c>
      <c r="B68" s="3" t="s">
        <v>5741</v>
      </c>
      <c r="C68" s="4">
        <v>1</v>
      </c>
      <c r="D68" s="5">
        <v>59.98</v>
      </c>
      <c r="E68" s="4" t="s">
        <v>5742</v>
      </c>
      <c r="F68" s="3" t="s">
        <v>6983</v>
      </c>
      <c r="G68" s="7" t="s">
        <v>5311</v>
      </c>
      <c r="H68" s="3" t="s">
        <v>5715</v>
      </c>
      <c r="I68" s="3" t="s">
        <v>5716</v>
      </c>
      <c r="J68" s="3" t="s">
        <v>5536</v>
      </c>
      <c r="K68" s="3" t="s">
        <v>5558</v>
      </c>
      <c r="L68" s="8" t="str">
        <f>HYPERLINK("http://slimages.macys.com/is/image/MCY/14366560 ")</f>
        <v xml:space="preserve">http://slimages.macys.com/is/image/MCY/14366560 </v>
      </c>
    </row>
    <row r="69" spans="1:12" ht="24.75" x14ac:dyDescent="0.25">
      <c r="A69" s="6" t="s">
        <v>2799</v>
      </c>
      <c r="B69" s="3" t="s">
        <v>2800</v>
      </c>
      <c r="C69" s="4">
        <v>1</v>
      </c>
      <c r="D69" s="5">
        <v>59.95</v>
      </c>
      <c r="E69" s="4" t="s">
        <v>2801</v>
      </c>
      <c r="F69" s="3" t="s">
        <v>6271</v>
      </c>
      <c r="G69" s="7" t="s">
        <v>6500</v>
      </c>
      <c r="H69" s="3" t="s">
        <v>7171</v>
      </c>
      <c r="I69" s="3" t="s">
        <v>3972</v>
      </c>
      <c r="J69" s="3" t="s">
        <v>5536</v>
      </c>
      <c r="K69" s="3" t="s">
        <v>5800</v>
      </c>
      <c r="L69" s="8" t="str">
        <f>HYPERLINK("http://slimages.macys.com/is/image/MCY/13726078 ")</f>
        <v xml:space="preserve">http://slimages.macys.com/is/image/MCY/13726078 </v>
      </c>
    </row>
    <row r="70" spans="1:12" x14ac:dyDescent="0.25">
      <c r="A70" s="6" t="s">
        <v>2802</v>
      </c>
      <c r="B70" s="3" t="s">
        <v>5744</v>
      </c>
      <c r="C70" s="4">
        <v>1</v>
      </c>
      <c r="D70" s="5">
        <v>99.5</v>
      </c>
      <c r="E70" s="4">
        <v>100075437</v>
      </c>
      <c r="F70" s="3" t="s">
        <v>5540</v>
      </c>
      <c r="G70" s="7" t="s">
        <v>5596</v>
      </c>
      <c r="H70" s="3" t="s">
        <v>5585</v>
      </c>
      <c r="I70" s="3" t="s">
        <v>5734</v>
      </c>
      <c r="J70" s="3" t="s">
        <v>5536</v>
      </c>
      <c r="K70" s="3" t="s">
        <v>5727</v>
      </c>
      <c r="L70" s="8" t="str">
        <f>HYPERLINK("http://slimages.macys.com/is/image/MCY/15185835 ")</f>
        <v xml:space="preserve">http://slimages.macys.com/is/image/MCY/15185835 </v>
      </c>
    </row>
    <row r="71" spans="1:12" ht="24.75" x14ac:dyDescent="0.25">
      <c r="A71" s="6" t="s">
        <v>2803</v>
      </c>
      <c r="B71" s="3" t="s">
        <v>2804</v>
      </c>
      <c r="C71" s="4">
        <v>1</v>
      </c>
      <c r="D71" s="5">
        <v>59.5</v>
      </c>
      <c r="E71" s="4" t="s">
        <v>2805</v>
      </c>
      <c r="F71" s="3" t="s">
        <v>5887</v>
      </c>
      <c r="G71" s="7" t="s">
        <v>5562</v>
      </c>
      <c r="H71" s="3" t="s">
        <v>5715</v>
      </c>
      <c r="I71" s="3" t="s">
        <v>5716</v>
      </c>
      <c r="J71" s="3" t="s">
        <v>5536</v>
      </c>
      <c r="K71" s="3" t="s">
        <v>5594</v>
      </c>
      <c r="L71" s="8" t="str">
        <f>HYPERLINK("http://slimages.macys.com/is/image/MCY/15631232 ")</f>
        <v xml:space="preserve">http://slimages.macys.com/is/image/MCY/15631232 </v>
      </c>
    </row>
    <row r="72" spans="1:12" ht="24.75" x14ac:dyDescent="0.25">
      <c r="A72" s="6" t="s">
        <v>2806</v>
      </c>
      <c r="B72" s="3" t="s">
        <v>2807</v>
      </c>
      <c r="C72" s="4">
        <v>1</v>
      </c>
      <c r="D72" s="5">
        <v>79.5</v>
      </c>
      <c r="E72" s="4" t="s">
        <v>2808</v>
      </c>
      <c r="F72" s="3" t="s">
        <v>5803</v>
      </c>
      <c r="G72" s="7" t="s">
        <v>5680</v>
      </c>
      <c r="H72" s="3" t="s">
        <v>5617</v>
      </c>
      <c r="I72" s="3" t="s">
        <v>5618</v>
      </c>
      <c r="J72" s="3" t="s">
        <v>5536</v>
      </c>
      <c r="K72" s="3" t="s">
        <v>5558</v>
      </c>
      <c r="L72" s="8" t="str">
        <f>HYPERLINK("http://slimages.macys.com/is/image/MCY/15831047 ")</f>
        <v xml:space="preserve">http://slimages.macys.com/is/image/MCY/15831047 </v>
      </c>
    </row>
    <row r="73" spans="1:12" ht="24.75" x14ac:dyDescent="0.25">
      <c r="A73" s="6" t="s">
        <v>2809</v>
      </c>
      <c r="B73" s="3" t="s">
        <v>7163</v>
      </c>
      <c r="C73" s="4">
        <v>1</v>
      </c>
      <c r="D73" s="5">
        <v>79.5</v>
      </c>
      <c r="E73" s="4" t="s">
        <v>7164</v>
      </c>
      <c r="F73" s="3" t="s">
        <v>5803</v>
      </c>
      <c r="G73" s="7" t="s">
        <v>5560</v>
      </c>
      <c r="H73" s="3" t="s">
        <v>5617</v>
      </c>
      <c r="I73" s="3" t="s">
        <v>5618</v>
      </c>
      <c r="J73" s="3" t="s">
        <v>5536</v>
      </c>
      <c r="K73" s="3" t="s">
        <v>7165</v>
      </c>
      <c r="L73" s="8" t="str">
        <f>HYPERLINK("http://slimages.macys.com/is/image/MCY/15829927 ")</f>
        <v xml:space="preserve">http://slimages.macys.com/is/image/MCY/15829927 </v>
      </c>
    </row>
    <row r="74" spans="1:12" ht="24.75" x14ac:dyDescent="0.25">
      <c r="A74" s="6" t="s">
        <v>2810</v>
      </c>
      <c r="B74" s="3" t="s">
        <v>2807</v>
      </c>
      <c r="C74" s="4">
        <v>1</v>
      </c>
      <c r="D74" s="5">
        <v>79.5</v>
      </c>
      <c r="E74" s="4" t="s">
        <v>2808</v>
      </c>
      <c r="F74" s="3" t="s">
        <v>5803</v>
      </c>
      <c r="G74" s="7" t="s">
        <v>5650</v>
      </c>
      <c r="H74" s="3" t="s">
        <v>5617</v>
      </c>
      <c r="I74" s="3" t="s">
        <v>5618</v>
      </c>
      <c r="J74" s="3" t="s">
        <v>5536</v>
      </c>
      <c r="K74" s="3" t="s">
        <v>5558</v>
      </c>
      <c r="L74" s="8" t="str">
        <f>HYPERLINK("http://slimages.macys.com/is/image/MCY/15831047 ")</f>
        <v xml:space="preserve">http://slimages.macys.com/is/image/MCY/15831047 </v>
      </c>
    </row>
    <row r="75" spans="1:12" ht="24.75" x14ac:dyDescent="0.25">
      <c r="A75" s="6" t="s">
        <v>2811</v>
      </c>
      <c r="B75" s="3" t="s">
        <v>2807</v>
      </c>
      <c r="C75" s="4">
        <v>1</v>
      </c>
      <c r="D75" s="5">
        <v>79.5</v>
      </c>
      <c r="E75" s="4" t="s">
        <v>2808</v>
      </c>
      <c r="F75" s="3" t="s">
        <v>5803</v>
      </c>
      <c r="G75" s="7" t="s">
        <v>5648</v>
      </c>
      <c r="H75" s="3" t="s">
        <v>5617</v>
      </c>
      <c r="I75" s="3" t="s">
        <v>5618</v>
      </c>
      <c r="J75" s="3" t="s">
        <v>5536</v>
      </c>
      <c r="K75" s="3" t="s">
        <v>5558</v>
      </c>
      <c r="L75" s="8" t="str">
        <f>HYPERLINK("http://slimages.macys.com/is/image/MCY/15831047 ")</f>
        <v xml:space="preserve">http://slimages.macys.com/is/image/MCY/15831047 </v>
      </c>
    </row>
    <row r="76" spans="1:12" ht="24.75" x14ac:dyDescent="0.25">
      <c r="A76" s="6" t="s">
        <v>2812</v>
      </c>
      <c r="B76" s="3" t="s">
        <v>7163</v>
      </c>
      <c r="C76" s="4">
        <v>2</v>
      </c>
      <c r="D76" s="5">
        <v>159</v>
      </c>
      <c r="E76" s="4" t="s">
        <v>7164</v>
      </c>
      <c r="F76" s="3" t="s">
        <v>5803</v>
      </c>
      <c r="G76" s="7" t="s">
        <v>5596</v>
      </c>
      <c r="H76" s="3" t="s">
        <v>5617</v>
      </c>
      <c r="I76" s="3" t="s">
        <v>5618</v>
      </c>
      <c r="J76" s="3" t="s">
        <v>5536</v>
      </c>
      <c r="K76" s="3" t="s">
        <v>7165</v>
      </c>
      <c r="L76" s="8" t="str">
        <f>HYPERLINK("http://slimages.macys.com/is/image/MCY/15829927 ")</f>
        <v xml:space="preserve">http://slimages.macys.com/is/image/MCY/15829927 </v>
      </c>
    </row>
    <row r="77" spans="1:12" ht="24.75" x14ac:dyDescent="0.25">
      <c r="A77" s="6" t="s">
        <v>2813</v>
      </c>
      <c r="B77" s="3" t="s">
        <v>7160</v>
      </c>
      <c r="C77" s="4">
        <v>1</v>
      </c>
      <c r="D77" s="5">
        <v>79.5</v>
      </c>
      <c r="E77" s="4" t="s">
        <v>7161</v>
      </c>
      <c r="F77" s="3" t="s">
        <v>5754</v>
      </c>
      <c r="G77" s="7" t="s">
        <v>5533</v>
      </c>
      <c r="H77" s="3" t="s">
        <v>5617</v>
      </c>
      <c r="I77" s="3" t="s">
        <v>5618</v>
      </c>
      <c r="J77" s="3" t="s">
        <v>5536</v>
      </c>
      <c r="K77" s="3" t="s">
        <v>5800</v>
      </c>
      <c r="L77" s="8" t="str">
        <f>HYPERLINK("http://slimages.macys.com/is/image/MCY/15829475 ")</f>
        <v xml:space="preserve">http://slimages.macys.com/is/image/MCY/15829475 </v>
      </c>
    </row>
    <row r="78" spans="1:12" ht="24.75" x14ac:dyDescent="0.25">
      <c r="A78" s="6" t="s">
        <v>2814</v>
      </c>
      <c r="B78" s="3" t="s">
        <v>2807</v>
      </c>
      <c r="C78" s="4">
        <v>1</v>
      </c>
      <c r="D78" s="5">
        <v>79.5</v>
      </c>
      <c r="E78" s="4" t="s">
        <v>2808</v>
      </c>
      <c r="F78" s="3" t="s">
        <v>5803</v>
      </c>
      <c r="G78" s="7" t="s">
        <v>5662</v>
      </c>
      <c r="H78" s="3" t="s">
        <v>5617</v>
      </c>
      <c r="I78" s="3" t="s">
        <v>5618</v>
      </c>
      <c r="J78" s="3" t="s">
        <v>5536</v>
      </c>
      <c r="K78" s="3" t="s">
        <v>5558</v>
      </c>
      <c r="L78" s="8" t="str">
        <f>HYPERLINK("http://slimages.macys.com/is/image/MCY/15831047 ")</f>
        <v xml:space="preserve">http://slimages.macys.com/is/image/MCY/15831047 </v>
      </c>
    </row>
    <row r="79" spans="1:12" ht="24.75" x14ac:dyDescent="0.25">
      <c r="A79" s="6" t="s">
        <v>2815</v>
      </c>
      <c r="B79" s="3" t="s">
        <v>2807</v>
      </c>
      <c r="C79" s="4">
        <v>1</v>
      </c>
      <c r="D79" s="5">
        <v>79.5</v>
      </c>
      <c r="E79" s="4" t="s">
        <v>2808</v>
      </c>
      <c r="F79" s="3" t="s">
        <v>5803</v>
      </c>
      <c r="G79" s="7" t="s">
        <v>5605</v>
      </c>
      <c r="H79" s="3" t="s">
        <v>5617</v>
      </c>
      <c r="I79" s="3" t="s">
        <v>5618</v>
      </c>
      <c r="J79" s="3" t="s">
        <v>5536</v>
      </c>
      <c r="K79" s="3" t="s">
        <v>5558</v>
      </c>
      <c r="L79" s="8" t="str">
        <f>HYPERLINK("http://slimages.macys.com/is/image/MCY/15831047 ")</f>
        <v xml:space="preserve">http://slimages.macys.com/is/image/MCY/15831047 </v>
      </c>
    </row>
    <row r="80" spans="1:12" x14ac:dyDescent="0.25">
      <c r="A80" s="6" t="s">
        <v>2816</v>
      </c>
      <c r="B80" s="3" t="s">
        <v>5749</v>
      </c>
      <c r="C80" s="4">
        <v>1</v>
      </c>
      <c r="D80" s="5">
        <v>53.5</v>
      </c>
      <c r="E80" s="4">
        <v>5141113</v>
      </c>
      <c r="F80" s="3" t="s">
        <v>5532</v>
      </c>
      <c r="G80" s="7" t="s">
        <v>5650</v>
      </c>
      <c r="H80" s="3" t="s">
        <v>5606</v>
      </c>
      <c r="I80" s="3" t="s">
        <v>5607</v>
      </c>
      <c r="J80" s="3" t="s">
        <v>5536</v>
      </c>
      <c r="K80" s="3" t="s">
        <v>5558</v>
      </c>
      <c r="L80" s="8" t="str">
        <f>HYPERLINK("http://slimages.macys.com/is/image/MCY/10472716 ")</f>
        <v xml:space="preserve">http://slimages.macys.com/is/image/MCY/10472716 </v>
      </c>
    </row>
    <row r="81" spans="1:12" ht="60.75" x14ac:dyDescent="0.25">
      <c r="A81" s="6" t="s">
        <v>2817</v>
      </c>
      <c r="B81" s="3" t="s">
        <v>2818</v>
      </c>
      <c r="C81" s="4">
        <v>1</v>
      </c>
      <c r="D81" s="5">
        <v>99.5</v>
      </c>
      <c r="E81" s="4">
        <v>100065404</v>
      </c>
      <c r="F81" s="3" t="s">
        <v>5540</v>
      </c>
      <c r="G81" s="7" t="s">
        <v>5560</v>
      </c>
      <c r="H81" s="3" t="s">
        <v>5585</v>
      </c>
      <c r="I81" s="3" t="s">
        <v>5734</v>
      </c>
      <c r="J81" s="3" t="s">
        <v>5536</v>
      </c>
      <c r="K81" s="3" t="s">
        <v>2819</v>
      </c>
      <c r="L81" s="8" t="str">
        <f>HYPERLINK("http://slimages.macys.com/is/image/MCY/15216704 ")</f>
        <v xml:space="preserve">http://slimages.macys.com/is/image/MCY/15216704 </v>
      </c>
    </row>
    <row r="82" spans="1:12" ht="60.75" x14ac:dyDescent="0.25">
      <c r="A82" s="6" t="s">
        <v>2820</v>
      </c>
      <c r="B82" s="3" t="s">
        <v>2818</v>
      </c>
      <c r="C82" s="4">
        <v>1</v>
      </c>
      <c r="D82" s="5">
        <v>99.5</v>
      </c>
      <c r="E82" s="4">
        <v>100065404</v>
      </c>
      <c r="F82" s="3" t="s">
        <v>5540</v>
      </c>
      <c r="G82" s="7" t="s">
        <v>5733</v>
      </c>
      <c r="H82" s="3" t="s">
        <v>5585</v>
      </c>
      <c r="I82" s="3" t="s">
        <v>5734</v>
      </c>
      <c r="J82" s="3" t="s">
        <v>5536</v>
      </c>
      <c r="K82" s="3" t="s">
        <v>2819</v>
      </c>
      <c r="L82" s="8" t="str">
        <f>HYPERLINK("http://slimages.macys.com/is/image/MCY/15216704 ")</f>
        <v xml:space="preserve">http://slimages.macys.com/is/image/MCY/15216704 </v>
      </c>
    </row>
    <row r="83" spans="1:12" ht="24.75" x14ac:dyDescent="0.25">
      <c r="A83" s="6" t="s">
        <v>2821</v>
      </c>
      <c r="B83" s="3" t="s">
        <v>2822</v>
      </c>
      <c r="C83" s="4">
        <v>1</v>
      </c>
      <c r="D83" s="5">
        <v>64.989999999999995</v>
      </c>
      <c r="E83" s="4" t="s">
        <v>2823</v>
      </c>
      <c r="F83" s="3" t="s">
        <v>5604</v>
      </c>
      <c r="G83" s="7" t="s">
        <v>5762</v>
      </c>
      <c r="H83" s="3" t="s">
        <v>5722</v>
      </c>
      <c r="I83" s="3" t="s">
        <v>5756</v>
      </c>
      <c r="J83" s="3" t="s">
        <v>5536</v>
      </c>
      <c r="K83" s="3" t="s">
        <v>5594</v>
      </c>
      <c r="L83" s="8" t="str">
        <f>HYPERLINK("http://slimages.macys.com/is/image/MCY/10523952 ")</f>
        <v xml:space="preserve">http://slimages.macys.com/is/image/MCY/10523952 </v>
      </c>
    </row>
    <row r="84" spans="1:12" ht="24.75" x14ac:dyDescent="0.25">
      <c r="A84" s="6" t="s">
        <v>2824</v>
      </c>
      <c r="B84" s="3" t="s">
        <v>4692</v>
      </c>
      <c r="C84" s="4">
        <v>1</v>
      </c>
      <c r="D84" s="5">
        <v>64.989999999999995</v>
      </c>
      <c r="E84" s="4" t="s">
        <v>5753</v>
      </c>
      <c r="F84" s="3" t="s">
        <v>5610</v>
      </c>
      <c r="G84" s="7" t="s">
        <v>5766</v>
      </c>
      <c r="H84" s="3" t="s">
        <v>5722</v>
      </c>
      <c r="I84" s="3" t="s">
        <v>5756</v>
      </c>
      <c r="J84" s="3" t="s">
        <v>5536</v>
      </c>
      <c r="K84" s="3" t="s">
        <v>5549</v>
      </c>
      <c r="L84" s="8" t="str">
        <f>HYPERLINK("http://slimages.macys.com/is/image/MCY/8823845 ")</f>
        <v xml:space="preserve">http://slimages.macys.com/is/image/MCY/8823845 </v>
      </c>
    </row>
    <row r="85" spans="1:12" x14ac:dyDescent="0.25">
      <c r="A85" s="6" t="s">
        <v>2825</v>
      </c>
      <c r="B85" s="3" t="s">
        <v>2826</v>
      </c>
      <c r="C85" s="4">
        <v>1</v>
      </c>
      <c r="D85" s="5">
        <v>44.99</v>
      </c>
      <c r="E85" s="4" t="s">
        <v>2827</v>
      </c>
      <c r="F85" s="3" t="s">
        <v>5783</v>
      </c>
      <c r="G85" s="7" t="s">
        <v>5596</v>
      </c>
      <c r="H85" s="3" t="s">
        <v>5606</v>
      </c>
      <c r="I85" s="3" t="s">
        <v>5914</v>
      </c>
      <c r="J85" s="3" t="s">
        <v>5536</v>
      </c>
      <c r="K85" s="3" t="s">
        <v>5727</v>
      </c>
      <c r="L85" s="8" t="str">
        <f>HYPERLINK("http://slimages.macys.com/is/image/MCY/15437058 ")</f>
        <v xml:space="preserve">http://slimages.macys.com/is/image/MCY/15437058 </v>
      </c>
    </row>
    <row r="86" spans="1:12" ht="24.75" x14ac:dyDescent="0.25">
      <c r="A86" s="6" t="s">
        <v>2828</v>
      </c>
      <c r="B86" s="3" t="s">
        <v>5412</v>
      </c>
      <c r="C86" s="4">
        <v>1</v>
      </c>
      <c r="D86" s="5">
        <v>59</v>
      </c>
      <c r="E86" s="4" t="s">
        <v>5413</v>
      </c>
      <c r="F86" s="3" t="s">
        <v>5532</v>
      </c>
      <c r="G86" s="7" t="s">
        <v>5562</v>
      </c>
      <c r="H86" s="3" t="s">
        <v>6794</v>
      </c>
      <c r="I86" s="3" t="s">
        <v>4712</v>
      </c>
      <c r="J86" s="3" t="s">
        <v>5536</v>
      </c>
      <c r="K86" s="3" t="s">
        <v>5574</v>
      </c>
      <c r="L86" s="8" t="str">
        <f>HYPERLINK("http://slimages.macys.com/is/image/MCY/14524329 ")</f>
        <v xml:space="preserve">http://slimages.macys.com/is/image/MCY/14524329 </v>
      </c>
    </row>
    <row r="87" spans="1:12" x14ac:dyDescent="0.25">
      <c r="A87" s="6" t="s">
        <v>2829</v>
      </c>
      <c r="B87" s="3" t="s">
        <v>2830</v>
      </c>
      <c r="C87" s="4">
        <v>2</v>
      </c>
      <c r="D87" s="5">
        <v>159.97999999999999</v>
      </c>
      <c r="E87" s="4" t="s">
        <v>2831</v>
      </c>
      <c r="F87" s="3" t="s">
        <v>5532</v>
      </c>
      <c r="G87" s="7" t="s">
        <v>5596</v>
      </c>
      <c r="H87" s="3" t="s">
        <v>6065</v>
      </c>
      <c r="I87" s="3" t="s">
        <v>6066</v>
      </c>
      <c r="J87" s="3" t="s">
        <v>5536</v>
      </c>
      <c r="K87" s="3" t="s">
        <v>2832</v>
      </c>
      <c r="L87" s="8" t="str">
        <f>HYPERLINK("http://slimages.macys.com/is/image/MCY/14343360 ")</f>
        <v xml:space="preserve">http://slimages.macys.com/is/image/MCY/14343360 </v>
      </c>
    </row>
    <row r="88" spans="1:12" ht="24.75" x14ac:dyDescent="0.25">
      <c r="A88" s="6" t="s">
        <v>2833</v>
      </c>
      <c r="B88" s="3" t="s">
        <v>2834</v>
      </c>
      <c r="C88" s="4">
        <v>1</v>
      </c>
      <c r="D88" s="5">
        <v>55</v>
      </c>
      <c r="E88" s="4" t="s">
        <v>2835</v>
      </c>
      <c r="F88" s="3" t="s">
        <v>5820</v>
      </c>
      <c r="G88" s="7" t="s">
        <v>6491</v>
      </c>
      <c r="H88" s="3" t="s">
        <v>7171</v>
      </c>
      <c r="I88" s="3" t="s">
        <v>2836</v>
      </c>
      <c r="J88" s="3" t="s">
        <v>5536</v>
      </c>
      <c r="K88" s="3" t="s">
        <v>2837</v>
      </c>
      <c r="L88" s="8" t="str">
        <f>HYPERLINK("http://slimages.macys.com/is/image/MCY/11463538 ")</f>
        <v xml:space="preserve">http://slimages.macys.com/is/image/MCY/11463538 </v>
      </c>
    </row>
    <row r="89" spans="1:12" ht="24.75" x14ac:dyDescent="0.25">
      <c r="A89" s="6" t="s">
        <v>2838</v>
      </c>
      <c r="B89" s="3" t="s">
        <v>2839</v>
      </c>
      <c r="C89" s="4">
        <v>1</v>
      </c>
      <c r="D89" s="5">
        <v>65</v>
      </c>
      <c r="E89" s="4" t="s">
        <v>2840</v>
      </c>
      <c r="F89" s="3"/>
      <c r="G89" s="7" t="s">
        <v>5596</v>
      </c>
      <c r="H89" s="3" t="s">
        <v>5547</v>
      </c>
      <c r="I89" s="3" t="s">
        <v>5548</v>
      </c>
      <c r="J89" s="3" t="s">
        <v>5536</v>
      </c>
      <c r="K89" s="3" t="s">
        <v>5594</v>
      </c>
      <c r="L89" s="8" t="str">
        <f>HYPERLINK("http://slimages.macys.com/is/image/MCY/15440611 ")</f>
        <v xml:space="preserve">http://slimages.macys.com/is/image/MCY/15440611 </v>
      </c>
    </row>
    <row r="90" spans="1:12" ht="24.75" x14ac:dyDescent="0.25">
      <c r="A90" s="6" t="s">
        <v>2841</v>
      </c>
      <c r="B90" s="3" t="s">
        <v>2842</v>
      </c>
      <c r="C90" s="4">
        <v>1</v>
      </c>
      <c r="D90" s="5">
        <v>49.99</v>
      </c>
      <c r="E90" s="4">
        <v>115010193</v>
      </c>
      <c r="F90" s="3" t="s">
        <v>5604</v>
      </c>
      <c r="G90" s="7" t="s">
        <v>2843</v>
      </c>
      <c r="H90" s="3" t="s">
        <v>5789</v>
      </c>
      <c r="I90" s="3" t="s">
        <v>5607</v>
      </c>
      <c r="J90" s="3" t="s">
        <v>5536</v>
      </c>
      <c r="K90" s="3" t="s">
        <v>5553</v>
      </c>
      <c r="L90" s="8" t="str">
        <f>HYPERLINK("http://slimages.macys.com/is/image/MCY/2064474 ")</f>
        <v xml:space="preserve">http://slimages.macys.com/is/image/MCY/2064474 </v>
      </c>
    </row>
    <row r="91" spans="1:12" ht="24.75" x14ac:dyDescent="0.25">
      <c r="A91" s="6" t="s">
        <v>2844</v>
      </c>
      <c r="B91" s="3" t="s">
        <v>2845</v>
      </c>
      <c r="C91" s="4">
        <v>1</v>
      </c>
      <c r="D91" s="5">
        <v>63</v>
      </c>
      <c r="E91" s="4" t="s">
        <v>2846</v>
      </c>
      <c r="F91" s="3" t="s">
        <v>5532</v>
      </c>
      <c r="G91" s="7" t="s">
        <v>5311</v>
      </c>
      <c r="H91" s="3" t="s">
        <v>7053</v>
      </c>
      <c r="I91" s="3" t="s">
        <v>7202</v>
      </c>
      <c r="J91" s="3" t="s">
        <v>5536</v>
      </c>
      <c r="K91" s="3" t="s">
        <v>5864</v>
      </c>
      <c r="L91" s="8" t="str">
        <f>HYPERLINK("http://slimages.macys.com/is/image/MCY/11964720 ")</f>
        <v xml:space="preserve">http://slimages.macys.com/is/image/MCY/11964720 </v>
      </c>
    </row>
    <row r="92" spans="1:12" ht="24.75" x14ac:dyDescent="0.25">
      <c r="A92" s="6" t="s">
        <v>2847</v>
      </c>
      <c r="B92" s="3" t="s">
        <v>2848</v>
      </c>
      <c r="C92" s="4">
        <v>1</v>
      </c>
      <c r="D92" s="5">
        <v>60</v>
      </c>
      <c r="E92" s="4" t="s">
        <v>2849</v>
      </c>
      <c r="F92" s="3" t="s">
        <v>5540</v>
      </c>
      <c r="G92" s="7"/>
      <c r="H92" s="3" t="s">
        <v>7088</v>
      </c>
      <c r="I92" s="3" t="s">
        <v>7089</v>
      </c>
      <c r="J92" s="3" t="s">
        <v>5536</v>
      </c>
      <c r="K92" s="3" t="s">
        <v>5553</v>
      </c>
      <c r="L92" s="8" t="str">
        <f>HYPERLINK("http://slimages.macys.com/is/image/MCY/14309076 ")</f>
        <v xml:space="preserve">http://slimages.macys.com/is/image/MCY/14309076 </v>
      </c>
    </row>
    <row r="93" spans="1:12" x14ac:dyDescent="0.25">
      <c r="A93" s="6" t="s">
        <v>2850</v>
      </c>
      <c r="B93" s="3" t="s">
        <v>2851</v>
      </c>
      <c r="C93" s="4">
        <v>1</v>
      </c>
      <c r="D93" s="5">
        <v>79.5</v>
      </c>
      <c r="E93" s="4">
        <v>100075439</v>
      </c>
      <c r="F93" s="3" t="s">
        <v>5578</v>
      </c>
      <c r="G93" s="7" t="s">
        <v>5582</v>
      </c>
      <c r="H93" s="3" t="s">
        <v>5585</v>
      </c>
      <c r="I93" s="3" t="s">
        <v>5734</v>
      </c>
      <c r="J93" s="3" t="s">
        <v>5536</v>
      </c>
      <c r="K93" s="3" t="s">
        <v>5587</v>
      </c>
      <c r="L93" s="8" t="str">
        <f>HYPERLINK("http://slimages.macys.com/is/image/MCY/16135488 ")</f>
        <v xml:space="preserve">http://slimages.macys.com/is/image/MCY/16135488 </v>
      </c>
    </row>
    <row r="94" spans="1:12" ht="24.75" x14ac:dyDescent="0.25">
      <c r="A94" s="6" t="s">
        <v>2852</v>
      </c>
      <c r="B94" s="3" t="s">
        <v>2853</v>
      </c>
      <c r="C94" s="4">
        <v>1</v>
      </c>
      <c r="D94" s="5">
        <v>44.99</v>
      </c>
      <c r="E94" s="4">
        <v>1894991</v>
      </c>
      <c r="F94" s="3" t="s">
        <v>5977</v>
      </c>
      <c r="G94" s="7" t="s">
        <v>6848</v>
      </c>
      <c r="H94" s="3" t="s">
        <v>5929</v>
      </c>
      <c r="I94" s="3" t="s">
        <v>5930</v>
      </c>
      <c r="J94" s="3" t="s">
        <v>5536</v>
      </c>
      <c r="K94" s="3" t="s">
        <v>5574</v>
      </c>
      <c r="L94" s="8" t="str">
        <f>HYPERLINK("http://slimages.macys.com/is/image/MCY/15745305 ")</f>
        <v xml:space="preserve">http://slimages.macys.com/is/image/MCY/15745305 </v>
      </c>
    </row>
    <row r="95" spans="1:12" ht="24.75" x14ac:dyDescent="0.25">
      <c r="A95" s="6" t="s">
        <v>2854</v>
      </c>
      <c r="B95" s="3" t="s">
        <v>2853</v>
      </c>
      <c r="C95" s="4">
        <v>1</v>
      </c>
      <c r="D95" s="5">
        <v>44.99</v>
      </c>
      <c r="E95" s="4">
        <v>1894991</v>
      </c>
      <c r="F95" s="3" t="s">
        <v>5977</v>
      </c>
      <c r="G95" s="7" t="s">
        <v>3886</v>
      </c>
      <c r="H95" s="3" t="s">
        <v>5929</v>
      </c>
      <c r="I95" s="3" t="s">
        <v>5930</v>
      </c>
      <c r="J95" s="3" t="s">
        <v>5536</v>
      </c>
      <c r="K95" s="3" t="s">
        <v>5574</v>
      </c>
      <c r="L95" s="8" t="str">
        <f>HYPERLINK("http://slimages.macys.com/is/image/MCY/15745305 ")</f>
        <v xml:space="preserve">http://slimages.macys.com/is/image/MCY/15745305 </v>
      </c>
    </row>
    <row r="96" spans="1:12" ht="24.75" x14ac:dyDescent="0.25">
      <c r="A96" s="6" t="s">
        <v>2855</v>
      </c>
      <c r="B96" s="3" t="s">
        <v>2856</v>
      </c>
      <c r="C96" s="4">
        <v>1</v>
      </c>
      <c r="D96" s="5">
        <v>57.99</v>
      </c>
      <c r="E96" s="4" t="s">
        <v>2857</v>
      </c>
      <c r="F96" s="3" t="s">
        <v>5783</v>
      </c>
      <c r="G96" s="7" t="s">
        <v>6476</v>
      </c>
      <c r="H96" s="3" t="s">
        <v>5722</v>
      </c>
      <c r="I96" s="3" t="s">
        <v>5773</v>
      </c>
      <c r="J96" s="3" t="s">
        <v>5536</v>
      </c>
      <c r="K96" s="3" t="s">
        <v>5558</v>
      </c>
      <c r="L96" s="8" t="str">
        <f>HYPERLINK("http://slimages.macys.com/is/image/MCY/13585968 ")</f>
        <v xml:space="preserve">http://slimages.macys.com/is/image/MCY/13585968 </v>
      </c>
    </row>
    <row r="97" spans="1:12" ht="48.75" x14ac:dyDescent="0.25">
      <c r="A97" s="6" t="s">
        <v>2858</v>
      </c>
      <c r="B97" s="3" t="s">
        <v>2859</v>
      </c>
      <c r="C97" s="4">
        <v>1</v>
      </c>
      <c r="D97" s="5">
        <v>60</v>
      </c>
      <c r="E97" s="4">
        <v>100081880</v>
      </c>
      <c r="F97" s="3" t="s">
        <v>5540</v>
      </c>
      <c r="G97" s="7" t="s">
        <v>5562</v>
      </c>
      <c r="H97" s="3" t="s">
        <v>5585</v>
      </c>
      <c r="I97" s="3" t="s">
        <v>5734</v>
      </c>
      <c r="J97" s="3" t="s">
        <v>5536</v>
      </c>
      <c r="K97" s="3" t="s">
        <v>2860</v>
      </c>
      <c r="L97" s="8" t="str">
        <f>HYPERLINK("http://slimages.macys.com/is/image/MCY/15927279 ")</f>
        <v xml:space="preserve">http://slimages.macys.com/is/image/MCY/15927279 </v>
      </c>
    </row>
    <row r="98" spans="1:12" ht="24.75" x14ac:dyDescent="0.25">
      <c r="A98" s="6" t="s">
        <v>2861</v>
      </c>
      <c r="B98" s="3" t="s">
        <v>3830</v>
      </c>
      <c r="C98" s="4">
        <v>1</v>
      </c>
      <c r="D98" s="5">
        <v>69.5</v>
      </c>
      <c r="E98" s="4" t="s">
        <v>3831</v>
      </c>
      <c r="F98" s="3" t="s">
        <v>5540</v>
      </c>
      <c r="G98" s="7" t="s">
        <v>5533</v>
      </c>
      <c r="H98" s="3" t="s">
        <v>5617</v>
      </c>
      <c r="I98" s="3" t="s">
        <v>5618</v>
      </c>
      <c r="J98" s="3" t="s">
        <v>5536</v>
      </c>
      <c r="K98" s="3" t="s">
        <v>5594</v>
      </c>
      <c r="L98" s="8" t="str">
        <f>HYPERLINK("http://slimages.macys.com/is/image/MCY/14795797 ")</f>
        <v xml:space="preserve">http://slimages.macys.com/is/image/MCY/14795797 </v>
      </c>
    </row>
    <row r="99" spans="1:12" ht="24.75" x14ac:dyDescent="0.25">
      <c r="A99" s="6" t="s">
        <v>2862</v>
      </c>
      <c r="B99" s="3" t="s">
        <v>4733</v>
      </c>
      <c r="C99" s="4">
        <v>1</v>
      </c>
      <c r="D99" s="5">
        <v>56.99</v>
      </c>
      <c r="E99" s="4" t="s">
        <v>4734</v>
      </c>
      <c r="F99" s="3" t="s">
        <v>4216</v>
      </c>
      <c r="G99" s="7" t="s">
        <v>5779</v>
      </c>
      <c r="H99" s="3" t="s">
        <v>5722</v>
      </c>
      <c r="I99" s="3" t="s">
        <v>4735</v>
      </c>
      <c r="J99" s="3" t="s">
        <v>5536</v>
      </c>
      <c r="K99" s="3" t="s">
        <v>5549</v>
      </c>
      <c r="L99" s="8" t="str">
        <f>HYPERLINK("http://slimages.macys.com/is/image/MCY/10592826 ")</f>
        <v xml:space="preserve">http://slimages.macys.com/is/image/MCY/10592826 </v>
      </c>
    </row>
    <row r="100" spans="1:12" ht="24.75" x14ac:dyDescent="0.25">
      <c r="A100" s="6" t="s">
        <v>2863</v>
      </c>
      <c r="B100" s="3" t="s">
        <v>2864</v>
      </c>
      <c r="C100" s="4">
        <v>1</v>
      </c>
      <c r="D100" s="5">
        <v>56.99</v>
      </c>
      <c r="E100" s="4" t="s">
        <v>2865</v>
      </c>
      <c r="F100" s="3" t="s">
        <v>5793</v>
      </c>
      <c r="G100" s="7" t="s">
        <v>5766</v>
      </c>
      <c r="H100" s="3" t="s">
        <v>5722</v>
      </c>
      <c r="I100" s="3" t="s">
        <v>4735</v>
      </c>
      <c r="J100" s="3" t="s">
        <v>5536</v>
      </c>
      <c r="K100" s="3" t="s">
        <v>5594</v>
      </c>
      <c r="L100" s="8" t="str">
        <f>HYPERLINK("http://slimages.macys.com/is/image/MCY/8728270 ")</f>
        <v xml:space="preserve">http://slimages.macys.com/is/image/MCY/8728270 </v>
      </c>
    </row>
    <row r="101" spans="1:12" ht="24.75" x14ac:dyDescent="0.25">
      <c r="A101" s="6" t="s">
        <v>2866</v>
      </c>
      <c r="B101" s="3" t="s">
        <v>2867</v>
      </c>
      <c r="C101" s="4">
        <v>1</v>
      </c>
      <c r="D101" s="5">
        <v>45</v>
      </c>
      <c r="E101" s="4">
        <v>830821</v>
      </c>
      <c r="F101" s="3" t="s">
        <v>5783</v>
      </c>
      <c r="G101" s="7" t="s">
        <v>5562</v>
      </c>
      <c r="H101" s="3" t="s">
        <v>4379</v>
      </c>
      <c r="I101" s="3" t="s">
        <v>5296</v>
      </c>
      <c r="J101" s="3" t="s">
        <v>5536</v>
      </c>
      <c r="K101" s="3" t="s">
        <v>5727</v>
      </c>
      <c r="L101" s="8" t="str">
        <f>HYPERLINK("http://slimages.macys.com/is/image/MCY/8148821 ")</f>
        <v xml:space="preserve">http://slimages.macys.com/is/image/MCY/8148821 </v>
      </c>
    </row>
    <row r="102" spans="1:12" ht="24.75" x14ac:dyDescent="0.25">
      <c r="A102" s="6" t="s">
        <v>2868</v>
      </c>
      <c r="B102" s="3" t="s">
        <v>4744</v>
      </c>
      <c r="C102" s="4">
        <v>1</v>
      </c>
      <c r="D102" s="5">
        <v>49.99</v>
      </c>
      <c r="E102" s="4" t="s">
        <v>4745</v>
      </c>
      <c r="F102" s="3" t="s">
        <v>5928</v>
      </c>
      <c r="G102" s="7" t="s">
        <v>5573</v>
      </c>
      <c r="H102" s="3" t="s">
        <v>7211</v>
      </c>
      <c r="I102" s="3" t="s">
        <v>7212</v>
      </c>
      <c r="J102" s="3" t="s">
        <v>5536</v>
      </c>
      <c r="K102" s="3" t="s">
        <v>5574</v>
      </c>
      <c r="L102" s="8" t="str">
        <f>HYPERLINK("http://slimages.macys.com/is/image/MCY/16464243 ")</f>
        <v xml:space="preserve">http://slimages.macys.com/is/image/MCY/16464243 </v>
      </c>
    </row>
    <row r="103" spans="1:12" ht="24.75" x14ac:dyDescent="0.25">
      <c r="A103" s="6" t="s">
        <v>2869</v>
      </c>
      <c r="B103" s="3" t="s">
        <v>2870</v>
      </c>
      <c r="C103" s="4">
        <v>1</v>
      </c>
      <c r="D103" s="5">
        <v>49.98</v>
      </c>
      <c r="E103" s="4" t="s">
        <v>2871</v>
      </c>
      <c r="F103" s="3" t="s">
        <v>5572</v>
      </c>
      <c r="G103" s="7" t="s">
        <v>5838</v>
      </c>
      <c r="H103" s="3" t="s">
        <v>5715</v>
      </c>
      <c r="I103" s="3" t="s">
        <v>5716</v>
      </c>
      <c r="J103" s="3" t="s">
        <v>5536</v>
      </c>
      <c r="K103" s="3" t="s">
        <v>5558</v>
      </c>
      <c r="L103" s="8" t="str">
        <f>HYPERLINK("http://slimages.macys.com/is/image/MCY/8644164 ")</f>
        <v xml:space="preserve">http://slimages.macys.com/is/image/MCY/8644164 </v>
      </c>
    </row>
    <row r="104" spans="1:12" ht="24.75" x14ac:dyDescent="0.25">
      <c r="A104" s="6" t="s">
        <v>2872</v>
      </c>
      <c r="B104" s="3" t="s">
        <v>2873</v>
      </c>
      <c r="C104" s="4">
        <v>1</v>
      </c>
      <c r="D104" s="5">
        <v>49.5</v>
      </c>
      <c r="E104" s="4" t="s">
        <v>2874</v>
      </c>
      <c r="F104" s="3" t="s">
        <v>5945</v>
      </c>
      <c r="G104" s="7" t="s">
        <v>5560</v>
      </c>
      <c r="H104" s="3" t="s">
        <v>5715</v>
      </c>
      <c r="I104" s="3" t="s">
        <v>5716</v>
      </c>
      <c r="J104" s="3" t="s">
        <v>5536</v>
      </c>
      <c r="K104" s="3" t="s">
        <v>5553</v>
      </c>
      <c r="L104" s="8" t="str">
        <f>HYPERLINK("http://slimages.macys.com/is/image/MCY/14352348 ")</f>
        <v xml:space="preserve">http://slimages.macys.com/is/image/MCY/14352348 </v>
      </c>
    </row>
    <row r="105" spans="1:12" ht="24.75" x14ac:dyDescent="0.25">
      <c r="A105" s="6" t="s">
        <v>2875</v>
      </c>
      <c r="B105" s="3" t="s">
        <v>2876</v>
      </c>
      <c r="C105" s="4">
        <v>1</v>
      </c>
      <c r="D105" s="5">
        <v>49.5</v>
      </c>
      <c r="E105" s="4" t="s">
        <v>2877</v>
      </c>
      <c r="F105" s="3" t="s">
        <v>5887</v>
      </c>
      <c r="G105" s="7" t="s">
        <v>3886</v>
      </c>
      <c r="H105" s="3" t="s">
        <v>7211</v>
      </c>
      <c r="I105" s="3" t="s">
        <v>7212</v>
      </c>
      <c r="J105" s="3" t="s">
        <v>5536</v>
      </c>
      <c r="K105" s="3" t="s">
        <v>5558</v>
      </c>
      <c r="L105" s="8" t="str">
        <f>HYPERLINK("http://slimages.macys.com/is/image/MCY/16495604 ")</f>
        <v xml:space="preserve">http://slimages.macys.com/is/image/MCY/16495604 </v>
      </c>
    </row>
    <row r="106" spans="1:12" ht="24.75" x14ac:dyDescent="0.25">
      <c r="A106" s="6" t="s">
        <v>2878</v>
      </c>
      <c r="B106" s="3" t="s">
        <v>2879</v>
      </c>
      <c r="C106" s="4">
        <v>1</v>
      </c>
      <c r="D106" s="5">
        <v>53.99</v>
      </c>
      <c r="E106" s="4">
        <v>1123447</v>
      </c>
      <c r="F106" s="3" t="s">
        <v>5811</v>
      </c>
      <c r="G106" s="7"/>
      <c r="H106" s="3" t="s">
        <v>5722</v>
      </c>
      <c r="I106" s="3" t="s">
        <v>4758</v>
      </c>
      <c r="J106" s="3" t="s">
        <v>5536</v>
      </c>
      <c r="K106" s="3" t="s">
        <v>5549</v>
      </c>
      <c r="L106" s="8" t="str">
        <f>HYPERLINK("http://slimages.macys.com/is/image/MCY/14723852 ")</f>
        <v xml:space="preserve">http://slimages.macys.com/is/image/MCY/14723852 </v>
      </c>
    </row>
    <row r="107" spans="1:12" ht="24.75" x14ac:dyDescent="0.25">
      <c r="A107" s="6" t="s">
        <v>2880</v>
      </c>
      <c r="B107" s="3" t="s">
        <v>2881</v>
      </c>
      <c r="C107" s="4">
        <v>1</v>
      </c>
      <c r="D107" s="5">
        <v>56.5</v>
      </c>
      <c r="E107" s="4" t="s">
        <v>2882</v>
      </c>
      <c r="F107" s="3"/>
      <c r="G107" s="7" t="s">
        <v>5311</v>
      </c>
      <c r="H107" s="3" t="s">
        <v>7053</v>
      </c>
      <c r="I107" s="3" t="s">
        <v>7202</v>
      </c>
      <c r="J107" s="3" t="s">
        <v>5536</v>
      </c>
      <c r="K107" s="3" t="s">
        <v>2883</v>
      </c>
      <c r="L107" s="8" t="str">
        <f>HYPERLINK("http://slimages.macys.com/is/image/MCY/10094448 ")</f>
        <v xml:space="preserve">http://slimages.macys.com/is/image/MCY/10094448 </v>
      </c>
    </row>
    <row r="108" spans="1:12" ht="24.75" x14ac:dyDescent="0.25">
      <c r="A108" s="6" t="s">
        <v>2884</v>
      </c>
      <c r="B108" s="3" t="s">
        <v>2885</v>
      </c>
      <c r="C108" s="4">
        <v>1</v>
      </c>
      <c r="D108" s="5">
        <v>49.99</v>
      </c>
      <c r="E108" s="4" t="s">
        <v>2886</v>
      </c>
      <c r="F108" s="3" t="s">
        <v>6496</v>
      </c>
      <c r="G108" s="7" t="s">
        <v>5626</v>
      </c>
      <c r="H108" s="3" t="s">
        <v>5862</v>
      </c>
      <c r="I108" s="3" t="s">
        <v>6204</v>
      </c>
      <c r="J108" s="3" t="s">
        <v>5536</v>
      </c>
      <c r="K108" s="3" t="s">
        <v>5727</v>
      </c>
      <c r="L108" s="8" t="str">
        <f>HYPERLINK("http://slimages.macys.com/is/image/MCY/15008319 ")</f>
        <v xml:space="preserve">http://slimages.macys.com/is/image/MCY/15008319 </v>
      </c>
    </row>
    <row r="109" spans="1:12" ht="24.75" x14ac:dyDescent="0.25">
      <c r="A109" s="6" t="s">
        <v>5493</v>
      </c>
      <c r="B109" s="3" t="s">
        <v>5491</v>
      </c>
      <c r="C109" s="4">
        <v>1</v>
      </c>
      <c r="D109" s="5">
        <v>44.99</v>
      </c>
      <c r="E109" s="4" t="s">
        <v>5492</v>
      </c>
      <c r="F109" s="3" t="s">
        <v>5616</v>
      </c>
      <c r="G109" s="7" t="s">
        <v>5533</v>
      </c>
      <c r="H109" s="3" t="s">
        <v>5606</v>
      </c>
      <c r="I109" s="3" t="s">
        <v>5914</v>
      </c>
      <c r="J109" s="3" t="s">
        <v>5536</v>
      </c>
      <c r="K109" s="3" t="s">
        <v>5727</v>
      </c>
      <c r="L109" s="8" t="str">
        <f>HYPERLINK("http://slimages.macys.com/is/image/MCY/15255861 ")</f>
        <v xml:space="preserve">http://slimages.macys.com/is/image/MCY/15255861 </v>
      </c>
    </row>
    <row r="110" spans="1:12" x14ac:dyDescent="0.25">
      <c r="A110" s="6" t="s">
        <v>2887</v>
      </c>
      <c r="B110" s="3" t="s">
        <v>5837</v>
      </c>
      <c r="C110" s="4">
        <v>2</v>
      </c>
      <c r="D110" s="5">
        <v>69.98</v>
      </c>
      <c r="E110" s="4">
        <v>232510006</v>
      </c>
      <c r="F110" s="3" t="s">
        <v>5540</v>
      </c>
      <c r="G110" s="7" t="s">
        <v>6491</v>
      </c>
      <c r="H110" s="3" t="s">
        <v>5606</v>
      </c>
      <c r="I110" s="3" t="s">
        <v>5607</v>
      </c>
      <c r="J110" s="3" t="s">
        <v>5536</v>
      </c>
      <c r="K110" s="3" t="s">
        <v>5594</v>
      </c>
      <c r="L110" s="8" t="str">
        <f>HYPERLINK("http://slimages.macys.com/is/image/MCY/3266708 ")</f>
        <v xml:space="preserve">http://slimages.macys.com/is/image/MCY/3266708 </v>
      </c>
    </row>
    <row r="111" spans="1:12" x14ac:dyDescent="0.25">
      <c r="A111" s="6" t="s">
        <v>2888</v>
      </c>
      <c r="B111" s="3" t="s">
        <v>2889</v>
      </c>
      <c r="C111" s="4">
        <v>1</v>
      </c>
      <c r="D111" s="5">
        <v>65</v>
      </c>
      <c r="E111" s="4">
        <v>100038548</v>
      </c>
      <c r="F111" s="3" t="s">
        <v>5783</v>
      </c>
      <c r="G111" s="7" t="s">
        <v>5562</v>
      </c>
      <c r="H111" s="3" t="s">
        <v>5585</v>
      </c>
      <c r="I111" s="3" t="s">
        <v>5734</v>
      </c>
      <c r="J111" s="3" t="s">
        <v>5536</v>
      </c>
      <c r="K111" s="3" t="s">
        <v>5594</v>
      </c>
      <c r="L111" s="8" t="str">
        <f>HYPERLINK("http://slimages.macys.com/is/image/MCY/11231731 ")</f>
        <v xml:space="preserve">http://slimages.macys.com/is/image/MCY/11231731 </v>
      </c>
    </row>
    <row r="112" spans="1:12" ht="24.75" x14ac:dyDescent="0.25">
      <c r="A112" s="6" t="s">
        <v>2890</v>
      </c>
      <c r="B112" s="3" t="s">
        <v>5859</v>
      </c>
      <c r="C112" s="4">
        <v>1</v>
      </c>
      <c r="D112" s="5">
        <v>53</v>
      </c>
      <c r="E112" s="4" t="s">
        <v>2891</v>
      </c>
      <c r="F112" s="3" t="s">
        <v>5803</v>
      </c>
      <c r="G112" s="7" t="s">
        <v>5557</v>
      </c>
      <c r="H112" s="3" t="s">
        <v>5862</v>
      </c>
      <c r="I112" s="3" t="s">
        <v>5863</v>
      </c>
      <c r="J112" s="3" t="s">
        <v>5536</v>
      </c>
      <c r="K112" s="3" t="s">
        <v>5935</v>
      </c>
      <c r="L112" s="8" t="str">
        <f>HYPERLINK("http://slimages.macys.com/is/image/MCY/14572118 ")</f>
        <v xml:space="preserve">http://slimages.macys.com/is/image/MCY/14572118 </v>
      </c>
    </row>
    <row r="113" spans="1:12" ht="24.75" x14ac:dyDescent="0.25">
      <c r="A113" s="6" t="s">
        <v>2892</v>
      </c>
      <c r="B113" s="3" t="s">
        <v>2893</v>
      </c>
      <c r="C113" s="4">
        <v>2</v>
      </c>
      <c r="D113" s="5">
        <v>159</v>
      </c>
      <c r="E113" s="4">
        <v>100089928</v>
      </c>
      <c r="F113" s="3" t="s">
        <v>7010</v>
      </c>
      <c r="G113" s="7" t="s">
        <v>5852</v>
      </c>
      <c r="H113" s="3" t="s">
        <v>5955</v>
      </c>
      <c r="I113" s="3" t="s">
        <v>5734</v>
      </c>
      <c r="J113" s="3"/>
      <c r="K113" s="3"/>
      <c r="L113" s="8" t="str">
        <f>HYPERLINK("http://slimages.macys.com/is/image/MCY/16335379 ")</f>
        <v xml:space="preserve">http://slimages.macys.com/is/image/MCY/16335379 </v>
      </c>
    </row>
    <row r="114" spans="1:12" ht="24.75" x14ac:dyDescent="0.25">
      <c r="A114" s="6" t="s">
        <v>2894</v>
      </c>
      <c r="B114" s="3" t="s">
        <v>2893</v>
      </c>
      <c r="C114" s="4">
        <v>1</v>
      </c>
      <c r="D114" s="5">
        <v>79.5</v>
      </c>
      <c r="E114" s="4">
        <v>100089928</v>
      </c>
      <c r="F114" s="3" t="s">
        <v>7010</v>
      </c>
      <c r="G114" s="7" t="s">
        <v>5838</v>
      </c>
      <c r="H114" s="3" t="s">
        <v>5955</v>
      </c>
      <c r="I114" s="3" t="s">
        <v>5734</v>
      </c>
      <c r="J114" s="3"/>
      <c r="K114" s="3"/>
      <c r="L114" s="8" t="str">
        <f>HYPERLINK("http://slimages.macys.com/is/image/MCY/16335379 ")</f>
        <v xml:space="preserve">http://slimages.macys.com/is/image/MCY/16335379 </v>
      </c>
    </row>
    <row r="115" spans="1:12" ht="24.75" x14ac:dyDescent="0.25">
      <c r="A115" s="6" t="s">
        <v>2895</v>
      </c>
      <c r="B115" s="3" t="s">
        <v>2893</v>
      </c>
      <c r="C115" s="4">
        <v>1</v>
      </c>
      <c r="D115" s="5">
        <v>79.5</v>
      </c>
      <c r="E115" s="4">
        <v>100089928</v>
      </c>
      <c r="F115" s="3" t="s">
        <v>7010</v>
      </c>
      <c r="G115" s="7" t="s">
        <v>5799</v>
      </c>
      <c r="H115" s="3" t="s">
        <v>5955</v>
      </c>
      <c r="I115" s="3" t="s">
        <v>5734</v>
      </c>
      <c r="J115" s="3"/>
      <c r="K115" s="3"/>
      <c r="L115" s="8" t="str">
        <f>HYPERLINK("http://slimages.macys.com/is/image/MCY/16335379 ")</f>
        <v xml:space="preserve">http://slimages.macys.com/is/image/MCY/16335379 </v>
      </c>
    </row>
    <row r="116" spans="1:12" ht="24.75" x14ac:dyDescent="0.25">
      <c r="A116" s="6" t="s">
        <v>2896</v>
      </c>
      <c r="B116" s="3" t="s">
        <v>2893</v>
      </c>
      <c r="C116" s="4">
        <v>1</v>
      </c>
      <c r="D116" s="5">
        <v>79.5</v>
      </c>
      <c r="E116" s="4">
        <v>100089928</v>
      </c>
      <c r="F116" s="3" t="s">
        <v>7010</v>
      </c>
      <c r="G116" s="7" t="s">
        <v>6626</v>
      </c>
      <c r="H116" s="3" t="s">
        <v>5955</v>
      </c>
      <c r="I116" s="3" t="s">
        <v>5734</v>
      </c>
      <c r="J116" s="3"/>
      <c r="K116" s="3"/>
      <c r="L116" s="8" t="str">
        <f>HYPERLINK("http://slimages.macys.com/is/image/MCY/16335379 ")</f>
        <v xml:space="preserve">http://slimages.macys.com/is/image/MCY/16335379 </v>
      </c>
    </row>
    <row r="117" spans="1:12" ht="24.75" x14ac:dyDescent="0.25">
      <c r="A117" s="6" t="s">
        <v>2897</v>
      </c>
      <c r="B117" s="3" t="s">
        <v>2898</v>
      </c>
      <c r="C117" s="4">
        <v>1</v>
      </c>
      <c r="D117" s="5">
        <v>79.5</v>
      </c>
      <c r="E117" s="4" t="s">
        <v>2899</v>
      </c>
      <c r="F117" s="3" t="s">
        <v>5540</v>
      </c>
      <c r="G117" s="7"/>
      <c r="H117" s="3" t="s">
        <v>5585</v>
      </c>
      <c r="I117" s="3" t="s">
        <v>2737</v>
      </c>
      <c r="J117" s="3" t="s">
        <v>5536</v>
      </c>
      <c r="K117" s="3" t="s">
        <v>4060</v>
      </c>
      <c r="L117" s="8" t="str">
        <f>HYPERLINK("http://slimages.macys.com/is/image/MCY/15207965 ")</f>
        <v xml:space="preserve">http://slimages.macys.com/is/image/MCY/15207965 </v>
      </c>
    </row>
    <row r="118" spans="1:12" ht="24.75" x14ac:dyDescent="0.25">
      <c r="A118" s="6" t="s">
        <v>2900</v>
      </c>
      <c r="B118" s="3" t="s">
        <v>2901</v>
      </c>
      <c r="C118" s="4">
        <v>1</v>
      </c>
      <c r="D118" s="5">
        <v>79.5</v>
      </c>
      <c r="E118" s="4" t="s">
        <v>2902</v>
      </c>
      <c r="F118" s="3" t="s">
        <v>5540</v>
      </c>
      <c r="G118" s="7"/>
      <c r="H118" s="3" t="s">
        <v>5585</v>
      </c>
      <c r="I118" s="3" t="s">
        <v>2737</v>
      </c>
      <c r="J118" s="3" t="s">
        <v>5536</v>
      </c>
      <c r="K118" s="3" t="s">
        <v>4060</v>
      </c>
      <c r="L118" s="8" t="str">
        <f>HYPERLINK("http://slimages.macys.com/is/image/MCY/15207965 ")</f>
        <v xml:space="preserve">http://slimages.macys.com/is/image/MCY/15207965 </v>
      </c>
    </row>
    <row r="119" spans="1:12" ht="24.75" x14ac:dyDescent="0.25">
      <c r="A119" s="6" t="s">
        <v>2903</v>
      </c>
      <c r="B119" s="3" t="s">
        <v>2904</v>
      </c>
      <c r="C119" s="4">
        <v>1</v>
      </c>
      <c r="D119" s="5">
        <v>49.5</v>
      </c>
      <c r="E119" s="4" t="s">
        <v>2905</v>
      </c>
      <c r="F119" s="3" t="s">
        <v>5566</v>
      </c>
      <c r="G119" s="7" t="s">
        <v>2712</v>
      </c>
      <c r="H119" s="3" t="s">
        <v>7088</v>
      </c>
      <c r="I119" s="3" t="s">
        <v>7089</v>
      </c>
      <c r="J119" s="3" t="s">
        <v>5536</v>
      </c>
      <c r="K119" s="3" t="s">
        <v>5553</v>
      </c>
      <c r="L119" s="8" t="str">
        <f>HYPERLINK("http://slimages.macys.com/is/image/MCY/11700762 ")</f>
        <v xml:space="preserve">http://slimages.macys.com/is/image/MCY/11700762 </v>
      </c>
    </row>
    <row r="120" spans="1:12" ht="24.75" x14ac:dyDescent="0.25">
      <c r="A120" s="6" t="s">
        <v>2906</v>
      </c>
      <c r="B120" s="3" t="s">
        <v>2907</v>
      </c>
      <c r="C120" s="4">
        <v>1</v>
      </c>
      <c r="D120" s="5">
        <v>54.99</v>
      </c>
      <c r="E120" s="4" t="s">
        <v>2908</v>
      </c>
      <c r="F120" s="3" t="s">
        <v>5532</v>
      </c>
      <c r="G120" s="7" t="s">
        <v>5560</v>
      </c>
      <c r="H120" s="3" t="s">
        <v>5877</v>
      </c>
      <c r="I120" s="3" t="s">
        <v>5878</v>
      </c>
      <c r="J120" s="3" t="s">
        <v>5536</v>
      </c>
      <c r="K120" s="3" t="s">
        <v>5888</v>
      </c>
      <c r="L120" s="8" t="str">
        <f>HYPERLINK("http://slimages.macys.com/is/image/MCY/14720188 ")</f>
        <v xml:space="preserve">http://slimages.macys.com/is/image/MCY/14720188 </v>
      </c>
    </row>
    <row r="121" spans="1:12" ht="24.75" x14ac:dyDescent="0.25">
      <c r="A121" s="6" t="s">
        <v>2909</v>
      </c>
      <c r="B121" s="3" t="s">
        <v>2910</v>
      </c>
      <c r="C121" s="4">
        <v>1</v>
      </c>
      <c r="D121" s="5">
        <v>48.99</v>
      </c>
      <c r="E121" s="4" t="s">
        <v>2911</v>
      </c>
      <c r="F121" s="3" t="s">
        <v>5552</v>
      </c>
      <c r="G121" s="7" t="s">
        <v>6862</v>
      </c>
      <c r="H121" s="3" t="s">
        <v>5892</v>
      </c>
      <c r="I121" s="3" t="s">
        <v>5893</v>
      </c>
      <c r="J121" s="3" t="s">
        <v>5536</v>
      </c>
      <c r="K121" s="3" t="s">
        <v>6021</v>
      </c>
      <c r="L121" s="8" t="str">
        <f>HYPERLINK("http://slimages.macys.com/is/image/MCY/15237910 ")</f>
        <v xml:space="preserve">http://slimages.macys.com/is/image/MCY/15237910 </v>
      </c>
    </row>
    <row r="122" spans="1:12" ht="36.75" x14ac:dyDescent="0.25">
      <c r="A122" s="6" t="s">
        <v>2912</v>
      </c>
      <c r="B122" s="3" t="s">
        <v>2913</v>
      </c>
      <c r="C122" s="4">
        <v>1</v>
      </c>
      <c r="D122" s="5">
        <v>47.99</v>
      </c>
      <c r="E122" s="4" t="s">
        <v>2914</v>
      </c>
      <c r="F122" s="3" t="s">
        <v>5820</v>
      </c>
      <c r="G122" s="7" t="s">
        <v>5999</v>
      </c>
      <c r="H122" s="3" t="s">
        <v>5892</v>
      </c>
      <c r="I122" s="3" t="s">
        <v>5893</v>
      </c>
      <c r="J122" s="3" t="s">
        <v>5536</v>
      </c>
      <c r="K122" s="3" t="s">
        <v>2915</v>
      </c>
      <c r="L122" s="8" t="str">
        <f>HYPERLINK("http://slimages.macys.com/is/image/MCY/14566769 ")</f>
        <v xml:space="preserve">http://slimages.macys.com/is/image/MCY/14566769 </v>
      </c>
    </row>
    <row r="123" spans="1:12" ht="36.75" x14ac:dyDescent="0.25">
      <c r="A123" s="6" t="s">
        <v>2916</v>
      </c>
      <c r="B123" s="3" t="s">
        <v>2913</v>
      </c>
      <c r="C123" s="4">
        <v>1</v>
      </c>
      <c r="D123" s="5">
        <v>47.99</v>
      </c>
      <c r="E123" s="4" t="s">
        <v>2914</v>
      </c>
      <c r="F123" s="3" t="s">
        <v>5925</v>
      </c>
      <c r="G123" s="7" t="s">
        <v>5582</v>
      </c>
      <c r="H123" s="3" t="s">
        <v>5892</v>
      </c>
      <c r="I123" s="3" t="s">
        <v>5893</v>
      </c>
      <c r="J123" s="3" t="s">
        <v>5536</v>
      </c>
      <c r="K123" s="3" t="s">
        <v>2915</v>
      </c>
      <c r="L123" s="8" t="str">
        <f>HYPERLINK("http://slimages.macys.com/is/image/MCY/14566769 ")</f>
        <v xml:space="preserve">http://slimages.macys.com/is/image/MCY/14566769 </v>
      </c>
    </row>
    <row r="124" spans="1:12" ht="24.75" x14ac:dyDescent="0.25">
      <c r="A124" s="6" t="s">
        <v>2917</v>
      </c>
      <c r="B124" s="3" t="s">
        <v>2918</v>
      </c>
      <c r="C124" s="4">
        <v>1</v>
      </c>
      <c r="D124" s="5">
        <v>44.99</v>
      </c>
      <c r="E124" s="4" t="s">
        <v>2919</v>
      </c>
      <c r="F124" s="3" t="s">
        <v>5820</v>
      </c>
      <c r="G124" s="7"/>
      <c r="H124" s="3" t="s">
        <v>5862</v>
      </c>
      <c r="I124" s="3" t="s">
        <v>2920</v>
      </c>
      <c r="J124" s="3" t="s">
        <v>5536</v>
      </c>
      <c r="K124" s="3" t="s">
        <v>2921</v>
      </c>
      <c r="L124" s="8" t="str">
        <f>HYPERLINK("http://slimages.macys.com/is/image/MCY/15671600 ")</f>
        <v xml:space="preserve">http://slimages.macys.com/is/image/MCY/15671600 </v>
      </c>
    </row>
    <row r="125" spans="1:12" x14ac:dyDescent="0.25">
      <c r="A125" s="6" t="s">
        <v>2922</v>
      </c>
      <c r="B125" s="3" t="s">
        <v>2851</v>
      </c>
      <c r="C125" s="4">
        <v>1</v>
      </c>
      <c r="D125" s="5">
        <v>79.5</v>
      </c>
      <c r="E125" s="4">
        <v>100075439</v>
      </c>
      <c r="F125" s="3" t="s">
        <v>5540</v>
      </c>
      <c r="G125" s="7" t="s">
        <v>5562</v>
      </c>
      <c r="H125" s="3" t="s">
        <v>5585</v>
      </c>
      <c r="I125" s="3" t="s">
        <v>5734</v>
      </c>
      <c r="J125" s="3" t="s">
        <v>5536</v>
      </c>
      <c r="K125" s="3" t="s">
        <v>5587</v>
      </c>
      <c r="L125" s="8" t="str">
        <f>HYPERLINK("http://slimages.macys.com/is/image/MCY/16135488 ")</f>
        <v xml:space="preserve">http://slimages.macys.com/is/image/MCY/16135488 </v>
      </c>
    </row>
    <row r="126" spans="1:12" x14ac:dyDescent="0.25">
      <c r="A126" s="6" t="s">
        <v>2923</v>
      </c>
      <c r="B126" s="3" t="s">
        <v>5908</v>
      </c>
      <c r="C126" s="4">
        <v>1</v>
      </c>
      <c r="D126" s="5">
        <v>75</v>
      </c>
      <c r="E126" s="4">
        <v>100075470</v>
      </c>
      <c r="F126" s="3" t="s">
        <v>5540</v>
      </c>
      <c r="G126" s="7" t="s">
        <v>5596</v>
      </c>
      <c r="H126" s="3" t="s">
        <v>5585</v>
      </c>
      <c r="I126" s="3" t="s">
        <v>5734</v>
      </c>
      <c r="J126" s="3" t="s">
        <v>5536</v>
      </c>
      <c r="K126" s="3" t="s">
        <v>5727</v>
      </c>
      <c r="L126" s="8" t="str">
        <f>HYPERLINK("http://slimages.macys.com/is/image/MCY/15327098 ")</f>
        <v xml:space="preserve">http://slimages.macys.com/is/image/MCY/15327098 </v>
      </c>
    </row>
    <row r="127" spans="1:12" x14ac:dyDescent="0.25">
      <c r="A127" s="6" t="s">
        <v>2924</v>
      </c>
      <c r="B127" s="3" t="s">
        <v>5912</v>
      </c>
      <c r="C127" s="4">
        <v>1</v>
      </c>
      <c r="D127" s="5">
        <v>39.99</v>
      </c>
      <c r="E127" s="4" t="s">
        <v>5913</v>
      </c>
      <c r="F127" s="3" t="s">
        <v>5820</v>
      </c>
      <c r="G127" s="7" t="s">
        <v>5598</v>
      </c>
      <c r="H127" s="3" t="s">
        <v>5606</v>
      </c>
      <c r="I127" s="3" t="s">
        <v>5914</v>
      </c>
      <c r="J127" s="3" t="s">
        <v>5536</v>
      </c>
      <c r="K127" s="3" t="s">
        <v>5594</v>
      </c>
      <c r="L127" s="8" t="str">
        <f>HYPERLINK("http://slimages.macys.com/is/image/MCY/15602396 ")</f>
        <v xml:space="preserve">http://slimages.macys.com/is/image/MCY/15602396 </v>
      </c>
    </row>
    <row r="128" spans="1:12" x14ac:dyDescent="0.25">
      <c r="A128" s="6" t="s">
        <v>2925</v>
      </c>
      <c r="B128" s="3" t="s">
        <v>5912</v>
      </c>
      <c r="C128" s="4">
        <v>1</v>
      </c>
      <c r="D128" s="5">
        <v>39.99</v>
      </c>
      <c r="E128" s="4" t="s">
        <v>5913</v>
      </c>
      <c r="F128" s="3" t="s">
        <v>5820</v>
      </c>
      <c r="G128" s="7" t="s">
        <v>5533</v>
      </c>
      <c r="H128" s="3" t="s">
        <v>5606</v>
      </c>
      <c r="I128" s="3" t="s">
        <v>5914</v>
      </c>
      <c r="J128" s="3" t="s">
        <v>5536</v>
      </c>
      <c r="K128" s="3" t="s">
        <v>5594</v>
      </c>
      <c r="L128" s="8" t="str">
        <f>HYPERLINK("http://slimages.macys.com/is/image/MCY/15602396 ")</f>
        <v xml:space="preserve">http://slimages.macys.com/is/image/MCY/15602396 </v>
      </c>
    </row>
    <row r="129" spans="1:12" x14ac:dyDescent="0.25">
      <c r="A129" s="6" t="s">
        <v>2926</v>
      </c>
      <c r="B129" s="3" t="s">
        <v>2927</v>
      </c>
      <c r="C129" s="4">
        <v>1</v>
      </c>
      <c r="D129" s="5">
        <v>70</v>
      </c>
      <c r="E129" s="4" t="s">
        <v>2928</v>
      </c>
      <c r="F129" s="3" t="s">
        <v>5540</v>
      </c>
      <c r="G129" s="7"/>
      <c r="H129" s="3" t="s">
        <v>5585</v>
      </c>
      <c r="I129" s="3" t="s">
        <v>2737</v>
      </c>
      <c r="J129" s="3" t="s">
        <v>5536</v>
      </c>
      <c r="K129" s="3" t="s">
        <v>5727</v>
      </c>
      <c r="L129" s="8" t="str">
        <f>HYPERLINK("http://slimages.macys.com/is/image/MCY/15780646 ")</f>
        <v xml:space="preserve">http://slimages.macys.com/is/image/MCY/15780646 </v>
      </c>
    </row>
    <row r="130" spans="1:12" x14ac:dyDescent="0.25">
      <c r="A130" s="6" t="s">
        <v>5516</v>
      </c>
      <c r="B130" s="3" t="s">
        <v>5922</v>
      </c>
      <c r="C130" s="4">
        <v>1</v>
      </c>
      <c r="D130" s="5">
        <v>59.5</v>
      </c>
      <c r="E130" s="4">
        <v>100031340</v>
      </c>
      <c r="F130" s="3" t="s">
        <v>5540</v>
      </c>
      <c r="G130" s="7" t="s">
        <v>5596</v>
      </c>
      <c r="H130" s="3" t="s">
        <v>5585</v>
      </c>
      <c r="I130" s="3" t="s">
        <v>5586</v>
      </c>
      <c r="J130" s="3" t="s">
        <v>5536</v>
      </c>
      <c r="K130" s="3" t="s">
        <v>5574</v>
      </c>
      <c r="L130" s="8" t="str">
        <f>HYPERLINK("http://slimages.macys.com/is/image/MCY/10790042 ")</f>
        <v xml:space="preserve">http://slimages.macys.com/is/image/MCY/10790042 </v>
      </c>
    </row>
    <row r="131" spans="1:12" x14ac:dyDescent="0.25">
      <c r="A131" s="6" t="s">
        <v>2929</v>
      </c>
      <c r="B131" s="3" t="s">
        <v>5922</v>
      </c>
      <c r="C131" s="4">
        <v>1</v>
      </c>
      <c r="D131" s="5">
        <v>59.5</v>
      </c>
      <c r="E131" s="4">
        <v>100031340</v>
      </c>
      <c r="F131" s="3" t="s">
        <v>5540</v>
      </c>
      <c r="G131" s="7" t="s">
        <v>5598</v>
      </c>
      <c r="H131" s="3" t="s">
        <v>5585</v>
      </c>
      <c r="I131" s="3" t="s">
        <v>5586</v>
      </c>
      <c r="J131" s="3" t="s">
        <v>5536</v>
      </c>
      <c r="K131" s="3" t="s">
        <v>5574</v>
      </c>
      <c r="L131" s="8" t="str">
        <f>HYPERLINK("http://slimages.macys.com/is/image/MCY/10790042 ")</f>
        <v xml:space="preserve">http://slimages.macys.com/is/image/MCY/10790042 </v>
      </c>
    </row>
    <row r="132" spans="1:12" x14ac:dyDescent="0.25">
      <c r="A132" s="6" t="s">
        <v>2930</v>
      </c>
      <c r="B132" s="3" t="s">
        <v>2931</v>
      </c>
      <c r="C132" s="4">
        <v>2</v>
      </c>
      <c r="D132" s="5">
        <v>79.98</v>
      </c>
      <c r="E132" s="4" t="s">
        <v>2932</v>
      </c>
      <c r="F132" s="3" t="s">
        <v>5566</v>
      </c>
      <c r="G132" s="7" t="s">
        <v>5533</v>
      </c>
      <c r="H132" s="3" t="s">
        <v>5606</v>
      </c>
      <c r="I132" s="3" t="s">
        <v>5914</v>
      </c>
      <c r="J132" s="3" t="s">
        <v>5536</v>
      </c>
      <c r="K132" s="3" t="s">
        <v>5549</v>
      </c>
      <c r="L132" s="8" t="str">
        <f>HYPERLINK("http://slimages.macys.com/is/image/MCY/15436303 ")</f>
        <v xml:space="preserve">http://slimages.macys.com/is/image/MCY/15436303 </v>
      </c>
    </row>
    <row r="133" spans="1:12" x14ac:dyDescent="0.25">
      <c r="A133" s="6" t="s">
        <v>2933</v>
      </c>
      <c r="B133" s="3" t="s">
        <v>2931</v>
      </c>
      <c r="C133" s="4">
        <v>1</v>
      </c>
      <c r="D133" s="5">
        <v>39.99</v>
      </c>
      <c r="E133" s="4" t="s">
        <v>2932</v>
      </c>
      <c r="F133" s="3" t="s">
        <v>5566</v>
      </c>
      <c r="G133" s="7" t="s">
        <v>5596</v>
      </c>
      <c r="H133" s="3" t="s">
        <v>5606</v>
      </c>
      <c r="I133" s="3" t="s">
        <v>5914</v>
      </c>
      <c r="J133" s="3" t="s">
        <v>5536</v>
      </c>
      <c r="K133" s="3" t="s">
        <v>5549</v>
      </c>
      <c r="L133" s="8" t="str">
        <f>HYPERLINK("http://slimages.macys.com/is/image/MCY/15436303 ")</f>
        <v xml:space="preserve">http://slimages.macys.com/is/image/MCY/15436303 </v>
      </c>
    </row>
    <row r="134" spans="1:12" ht="24.75" x14ac:dyDescent="0.25">
      <c r="A134" s="6" t="s">
        <v>2934</v>
      </c>
      <c r="B134" s="3" t="s">
        <v>2153</v>
      </c>
      <c r="C134" s="4">
        <v>1</v>
      </c>
      <c r="D134" s="5">
        <v>35</v>
      </c>
      <c r="E134" s="4">
        <v>1715381</v>
      </c>
      <c r="F134" s="3" t="s">
        <v>5803</v>
      </c>
      <c r="G134" s="7"/>
      <c r="H134" s="3" t="s">
        <v>5929</v>
      </c>
      <c r="I134" s="3" t="s">
        <v>5930</v>
      </c>
      <c r="J134" s="3" t="s">
        <v>5536</v>
      </c>
      <c r="K134" s="3" t="s">
        <v>4535</v>
      </c>
      <c r="L134" s="8" t="str">
        <f>HYPERLINK("http://slimages.macys.com/is/image/MCY/13698393 ")</f>
        <v xml:space="preserve">http://slimages.macys.com/is/image/MCY/13698393 </v>
      </c>
    </row>
    <row r="135" spans="1:12" ht="24.75" x14ac:dyDescent="0.25">
      <c r="A135" s="6" t="s">
        <v>2935</v>
      </c>
      <c r="B135" s="3" t="s">
        <v>2936</v>
      </c>
      <c r="C135" s="4">
        <v>1</v>
      </c>
      <c r="D135" s="5">
        <v>34.99</v>
      </c>
      <c r="E135" s="4">
        <v>1552071</v>
      </c>
      <c r="F135" s="3" t="s">
        <v>5811</v>
      </c>
      <c r="G135" s="7" t="s">
        <v>5560</v>
      </c>
      <c r="H135" s="3" t="s">
        <v>5929</v>
      </c>
      <c r="I135" s="3" t="s">
        <v>5930</v>
      </c>
      <c r="J135" s="3" t="s">
        <v>5536</v>
      </c>
      <c r="K135" s="3" t="s">
        <v>5558</v>
      </c>
      <c r="L135" s="8" t="str">
        <f>HYPERLINK("http://slimages.macys.com/is/image/MCY/14509974 ")</f>
        <v xml:space="preserve">http://slimages.macys.com/is/image/MCY/14509974 </v>
      </c>
    </row>
    <row r="136" spans="1:12" x14ac:dyDescent="0.25">
      <c r="A136" s="6" t="s">
        <v>2937</v>
      </c>
      <c r="B136" s="3" t="s">
        <v>2936</v>
      </c>
      <c r="C136" s="4">
        <v>1</v>
      </c>
      <c r="D136" s="5">
        <v>34.99</v>
      </c>
      <c r="E136" s="4">
        <v>1552071</v>
      </c>
      <c r="F136" s="3" t="s">
        <v>5793</v>
      </c>
      <c r="G136" s="7" t="s">
        <v>5533</v>
      </c>
      <c r="H136" s="3" t="s">
        <v>5929</v>
      </c>
      <c r="I136" s="3" t="s">
        <v>5930</v>
      </c>
      <c r="J136" s="3" t="s">
        <v>5536</v>
      </c>
      <c r="K136" s="3" t="s">
        <v>5558</v>
      </c>
      <c r="L136" s="8" t="str">
        <f>HYPERLINK("http://slimages.macys.com/is/image/MCY/14510010 ")</f>
        <v xml:space="preserve">http://slimages.macys.com/is/image/MCY/14510010 </v>
      </c>
    </row>
    <row r="137" spans="1:12" x14ac:dyDescent="0.25">
      <c r="A137" s="6" t="s">
        <v>2938</v>
      </c>
      <c r="B137" s="3" t="s">
        <v>2936</v>
      </c>
      <c r="C137" s="4">
        <v>2</v>
      </c>
      <c r="D137" s="5">
        <v>69.98</v>
      </c>
      <c r="E137" s="4">
        <v>1552071</v>
      </c>
      <c r="F137" s="3" t="s">
        <v>5793</v>
      </c>
      <c r="G137" s="7" t="s">
        <v>5533</v>
      </c>
      <c r="H137" s="3" t="s">
        <v>5929</v>
      </c>
      <c r="I137" s="3" t="s">
        <v>5930</v>
      </c>
      <c r="J137" s="3" t="s">
        <v>5536</v>
      </c>
      <c r="K137" s="3" t="s">
        <v>5558</v>
      </c>
      <c r="L137" s="8" t="str">
        <f>HYPERLINK("http://slimages.macys.com/is/image/MCY/14509974 ")</f>
        <v xml:space="preserve">http://slimages.macys.com/is/image/MCY/14509974 </v>
      </c>
    </row>
    <row r="138" spans="1:12" ht="24.75" x14ac:dyDescent="0.25">
      <c r="A138" s="6" t="s">
        <v>2939</v>
      </c>
      <c r="B138" s="3" t="s">
        <v>2940</v>
      </c>
      <c r="C138" s="4">
        <v>1</v>
      </c>
      <c r="D138" s="5">
        <v>39</v>
      </c>
      <c r="E138" s="4" t="s">
        <v>2941</v>
      </c>
      <c r="F138" s="3"/>
      <c r="G138" s="7" t="s">
        <v>2159</v>
      </c>
      <c r="H138" s="3" t="s">
        <v>5862</v>
      </c>
      <c r="I138" s="3" t="s">
        <v>5934</v>
      </c>
      <c r="J138" s="3" t="s">
        <v>5536</v>
      </c>
      <c r="K138" s="3" t="s">
        <v>6021</v>
      </c>
      <c r="L138" s="8" t="str">
        <f>HYPERLINK("http://slimages.macys.com/is/image/MCY/15612212 ")</f>
        <v xml:space="preserve">http://slimages.macys.com/is/image/MCY/15612212 </v>
      </c>
    </row>
    <row r="139" spans="1:12" ht="24.75" x14ac:dyDescent="0.25">
      <c r="A139" s="6" t="s">
        <v>2942</v>
      </c>
      <c r="B139" s="3" t="s">
        <v>2943</v>
      </c>
      <c r="C139" s="4">
        <v>2</v>
      </c>
      <c r="D139" s="5">
        <v>90</v>
      </c>
      <c r="E139" s="4" t="s">
        <v>2944</v>
      </c>
      <c r="F139" s="3" t="s">
        <v>5803</v>
      </c>
      <c r="G139" s="7" t="s">
        <v>5629</v>
      </c>
      <c r="H139" s="3" t="s">
        <v>5862</v>
      </c>
      <c r="I139" s="3" t="s">
        <v>5863</v>
      </c>
      <c r="J139" s="3" t="s">
        <v>5536</v>
      </c>
      <c r="K139" s="3" t="s">
        <v>5935</v>
      </c>
      <c r="L139" s="8" t="str">
        <f>HYPERLINK("http://slimages.macys.com/is/image/MCY/14572464 ")</f>
        <v xml:space="preserve">http://slimages.macys.com/is/image/MCY/14572464 </v>
      </c>
    </row>
    <row r="140" spans="1:12" ht="24.75" x14ac:dyDescent="0.25">
      <c r="A140" s="6" t="s">
        <v>2945</v>
      </c>
      <c r="B140" s="3" t="s">
        <v>2946</v>
      </c>
      <c r="C140" s="4">
        <v>1</v>
      </c>
      <c r="D140" s="5">
        <v>52.99</v>
      </c>
      <c r="E140" s="4" t="s">
        <v>2947</v>
      </c>
      <c r="F140" s="3" t="s">
        <v>5793</v>
      </c>
      <c r="G140" s="7" t="s">
        <v>5816</v>
      </c>
      <c r="H140" s="3" t="s">
        <v>6026</v>
      </c>
      <c r="I140" s="3" t="s">
        <v>2948</v>
      </c>
      <c r="J140" s="3" t="s">
        <v>5536</v>
      </c>
      <c r="K140" s="3" t="s">
        <v>5641</v>
      </c>
      <c r="L140" s="8" t="str">
        <f>HYPERLINK("http://slimages.macys.com/is/image/MCY/11665999 ")</f>
        <v xml:space="preserve">http://slimages.macys.com/is/image/MCY/11665999 </v>
      </c>
    </row>
    <row r="141" spans="1:12" x14ac:dyDescent="0.25">
      <c r="A141" s="6" t="s">
        <v>2949</v>
      </c>
      <c r="B141" s="3" t="s">
        <v>5948</v>
      </c>
      <c r="C141" s="4">
        <v>1</v>
      </c>
      <c r="D141" s="5">
        <v>34.99</v>
      </c>
      <c r="E141" s="4" t="s">
        <v>5949</v>
      </c>
      <c r="F141" s="3" t="s">
        <v>5820</v>
      </c>
      <c r="G141" s="7" t="s">
        <v>5596</v>
      </c>
      <c r="H141" s="3" t="s">
        <v>5606</v>
      </c>
      <c r="I141" s="3" t="s">
        <v>5914</v>
      </c>
      <c r="J141" s="3" t="s">
        <v>5536</v>
      </c>
      <c r="K141" s="3" t="s">
        <v>5594</v>
      </c>
      <c r="L141" s="8" t="str">
        <f>HYPERLINK("http://slimages.macys.com/is/image/MCY/15602237 ")</f>
        <v xml:space="preserve">http://slimages.macys.com/is/image/MCY/15602237 </v>
      </c>
    </row>
    <row r="142" spans="1:12" ht="24.75" x14ac:dyDescent="0.25">
      <c r="A142" s="6" t="s">
        <v>2950</v>
      </c>
      <c r="B142" s="3" t="s">
        <v>2951</v>
      </c>
      <c r="C142" s="4">
        <v>1</v>
      </c>
      <c r="D142" s="5">
        <v>34.99</v>
      </c>
      <c r="E142" s="4" t="s">
        <v>2952</v>
      </c>
      <c r="F142" s="3" t="s">
        <v>5945</v>
      </c>
      <c r="G142" s="7" t="s">
        <v>5560</v>
      </c>
      <c r="H142" s="3" t="s">
        <v>5606</v>
      </c>
      <c r="I142" s="3" t="s">
        <v>5914</v>
      </c>
      <c r="J142" s="3" t="s">
        <v>5536</v>
      </c>
      <c r="K142" s="3" t="s">
        <v>5594</v>
      </c>
      <c r="L142" s="8" t="str">
        <f>HYPERLINK("http://slimages.macys.com/is/image/MCY/15602385 ")</f>
        <v xml:space="preserve">http://slimages.macys.com/is/image/MCY/15602385 </v>
      </c>
    </row>
    <row r="143" spans="1:12" ht="24.75" x14ac:dyDescent="0.25">
      <c r="A143" s="6" t="s">
        <v>2953</v>
      </c>
      <c r="B143" s="3" t="s">
        <v>5940</v>
      </c>
      <c r="C143" s="4">
        <v>1</v>
      </c>
      <c r="D143" s="5">
        <v>34.99</v>
      </c>
      <c r="E143" s="4" t="s">
        <v>5941</v>
      </c>
      <c r="F143" s="3" t="s">
        <v>5616</v>
      </c>
      <c r="G143" s="7" t="s">
        <v>5598</v>
      </c>
      <c r="H143" s="3" t="s">
        <v>5606</v>
      </c>
      <c r="I143" s="3" t="s">
        <v>5914</v>
      </c>
      <c r="J143" s="3" t="s">
        <v>5536</v>
      </c>
      <c r="K143" s="3" t="s">
        <v>5553</v>
      </c>
      <c r="L143" s="8" t="str">
        <f>HYPERLINK("http://slimages.macys.com/is/image/MCY/11640947 ")</f>
        <v xml:space="preserve">http://slimages.macys.com/is/image/MCY/11640947 </v>
      </c>
    </row>
    <row r="144" spans="1:12" ht="24.75" x14ac:dyDescent="0.25">
      <c r="A144" s="6" t="s">
        <v>2954</v>
      </c>
      <c r="B144" s="3" t="s">
        <v>2946</v>
      </c>
      <c r="C144" s="4">
        <v>1</v>
      </c>
      <c r="D144" s="5">
        <v>52.99</v>
      </c>
      <c r="E144" s="4" t="s">
        <v>2947</v>
      </c>
      <c r="F144" s="3" t="s">
        <v>5793</v>
      </c>
      <c r="G144" s="7" t="s">
        <v>5760</v>
      </c>
      <c r="H144" s="3" t="s">
        <v>6026</v>
      </c>
      <c r="I144" s="3" t="s">
        <v>2948</v>
      </c>
      <c r="J144" s="3" t="s">
        <v>5536</v>
      </c>
      <c r="K144" s="3" t="s">
        <v>5641</v>
      </c>
      <c r="L144" s="8" t="str">
        <f>HYPERLINK("http://slimages.macys.com/is/image/MCY/11665999 ")</f>
        <v xml:space="preserve">http://slimages.macys.com/is/image/MCY/11665999 </v>
      </c>
    </row>
    <row r="145" spans="1:12" x14ac:dyDescent="0.25">
      <c r="A145" s="6" t="s">
        <v>5936</v>
      </c>
      <c r="B145" s="3" t="s">
        <v>5937</v>
      </c>
      <c r="C145" s="4">
        <v>1</v>
      </c>
      <c r="D145" s="5">
        <v>34.99</v>
      </c>
      <c r="E145" s="4" t="s">
        <v>5938</v>
      </c>
      <c r="F145" s="3" t="s">
        <v>5604</v>
      </c>
      <c r="G145" s="7" t="s">
        <v>5598</v>
      </c>
      <c r="H145" s="3" t="s">
        <v>5606</v>
      </c>
      <c r="I145" s="3" t="s">
        <v>5914</v>
      </c>
      <c r="J145" s="3" t="s">
        <v>5536</v>
      </c>
      <c r="K145" s="3" t="s">
        <v>5549</v>
      </c>
      <c r="L145" s="8" t="str">
        <f>HYPERLINK("http://slimages.macys.com/is/image/MCY/14433861 ")</f>
        <v xml:space="preserve">http://slimages.macys.com/is/image/MCY/14433861 </v>
      </c>
    </row>
    <row r="146" spans="1:12" ht="24.75" x14ac:dyDescent="0.25">
      <c r="A146" s="6" t="s">
        <v>2955</v>
      </c>
      <c r="B146" s="3" t="s">
        <v>3872</v>
      </c>
      <c r="C146" s="4">
        <v>1</v>
      </c>
      <c r="D146" s="5">
        <v>34.99</v>
      </c>
      <c r="E146" s="4" t="s">
        <v>3873</v>
      </c>
      <c r="F146" s="3" t="s">
        <v>6275</v>
      </c>
      <c r="G146" s="7" t="s">
        <v>5596</v>
      </c>
      <c r="H146" s="3" t="s">
        <v>5606</v>
      </c>
      <c r="I146" s="3" t="s">
        <v>5914</v>
      </c>
      <c r="J146" s="3" t="s">
        <v>5536</v>
      </c>
      <c r="K146" s="3" t="s">
        <v>5574</v>
      </c>
      <c r="L146" s="8" t="str">
        <f>HYPERLINK("http://slimages.macys.com/is/image/MCY/14433683 ")</f>
        <v xml:space="preserve">http://slimages.macys.com/is/image/MCY/14433683 </v>
      </c>
    </row>
    <row r="147" spans="1:12" x14ac:dyDescent="0.25">
      <c r="A147" s="6" t="s">
        <v>2956</v>
      </c>
      <c r="B147" s="3" t="s">
        <v>2889</v>
      </c>
      <c r="C147" s="4">
        <v>1</v>
      </c>
      <c r="D147" s="5">
        <v>65</v>
      </c>
      <c r="E147" s="4">
        <v>100038548</v>
      </c>
      <c r="F147" s="3" t="s">
        <v>5540</v>
      </c>
      <c r="G147" s="7" t="s">
        <v>5533</v>
      </c>
      <c r="H147" s="3" t="s">
        <v>5585</v>
      </c>
      <c r="I147" s="3" t="s">
        <v>5734</v>
      </c>
      <c r="J147" s="3" t="s">
        <v>5536</v>
      </c>
      <c r="K147" s="3" t="s">
        <v>5594</v>
      </c>
      <c r="L147" s="8" t="str">
        <f>HYPERLINK("http://slimages.macys.com/is/image/MCY/11231731 ")</f>
        <v xml:space="preserve">http://slimages.macys.com/is/image/MCY/11231731 </v>
      </c>
    </row>
    <row r="148" spans="1:12" x14ac:dyDescent="0.25">
      <c r="A148" s="6" t="s">
        <v>4777</v>
      </c>
      <c r="B148" s="3" t="s">
        <v>5958</v>
      </c>
      <c r="C148" s="4">
        <v>1</v>
      </c>
      <c r="D148" s="5">
        <v>69.5</v>
      </c>
      <c r="E148" s="4">
        <v>100076029</v>
      </c>
      <c r="F148" s="3" t="s">
        <v>5610</v>
      </c>
      <c r="G148" s="7" t="s">
        <v>5694</v>
      </c>
      <c r="H148" s="3" t="s">
        <v>5585</v>
      </c>
      <c r="I148" s="3" t="s">
        <v>5586</v>
      </c>
      <c r="J148" s="3" t="s">
        <v>5536</v>
      </c>
      <c r="K148" s="3" t="s">
        <v>5587</v>
      </c>
      <c r="L148" s="8" t="str">
        <f>HYPERLINK("http://slimages.macys.com/is/image/MCY/15327356 ")</f>
        <v xml:space="preserve">http://slimages.macys.com/is/image/MCY/15327356 </v>
      </c>
    </row>
    <row r="149" spans="1:12" ht="24.75" x14ac:dyDescent="0.25">
      <c r="A149" s="6" t="s">
        <v>2957</v>
      </c>
      <c r="B149" s="3" t="s">
        <v>3882</v>
      </c>
      <c r="C149" s="4">
        <v>1</v>
      </c>
      <c r="D149" s="5">
        <v>60</v>
      </c>
      <c r="E149" s="4">
        <v>100075474</v>
      </c>
      <c r="F149" s="3" t="s">
        <v>7189</v>
      </c>
      <c r="G149" s="7" t="s">
        <v>5596</v>
      </c>
      <c r="H149" s="3" t="s">
        <v>5585</v>
      </c>
      <c r="I149" s="3" t="s">
        <v>5734</v>
      </c>
      <c r="J149" s="3" t="s">
        <v>5536</v>
      </c>
      <c r="K149" s="3" t="s">
        <v>7190</v>
      </c>
      <c r="L149" s="8" t="str">
        <f>HYPERLINK("http://slimages.macys.com/is/image/MCY/15445295 ")</f>
        <v xml:space="preserve">http://slimages.macys.com/is/image/MCY/15445295 </v>
      </c>
    </row>
    <row r="150" spans="1:12" ht="24.75" x14ac:dyDescent="0.25">
      <c r="A150" s="6" t="s">
        <v>2958</v>
      </c>
      <c r="B150" s="3" t="s">
        <v>2959</v>
      </c>
      <c r="C150" s="4">
        <v>1</v>
      </c>
      <c r="D150" s="5">
        <v>38.99</v>
      </c>
      <c r="E150" s="4" t="s">
        <v>2960</v>
      </c>
      <c r="F150" s="3" t="s">
        <v>5566</v>
      </c>
      <c r="G150" s="7" t="s">
        <v>5582</v>
      </c>
      <c r="H150" s="3" t="s">
        <v>5892</v>
      </c>
      <c r="I150" s="3" t="s">
        <v>5893</v>
      </c>
      <c r="J150" s="3" t="s">
        <v>5536</v>
      </c>
      <c r="K150" s="3" t="s">
        <v>5549</v>
      </c>
      <c r="L150" s="8" t="str">
        <f>HYPERLINK("http://slimages.macys.com/is/image/MCY/14563735 ")</f>
        <v xml:space="preserve">http://slimages.macys.com/is/image/MCY/14563735 </v>
      </c>
    </row>
    <row r="151" spans="1:12" ht="24.75" x14ac:dyDescent="0.25">
      <c r="A151" s="6" t="s">
        <v>3883</v>
      </c>
      <c r="B151" s="3" t="s">
        <v>3884</v>
      </c>
      <c r="C151" s="4">
        <v>1</v>
      </c>
      <c r="D151" s="5">
        <v>42.99</v>
      </c>
      <c r="E151" s="4" t="s">
        <v>3885</v>
      </c>
      <c r="F151" s="3" t="s">
        <v>5532</v>
      </c>
      <c r="G151" s="7" t="s">
        <v>3886</v>
      </c>
      <c r="H151" s="3" t="s">
        <v>5892</v>
      </c>
      <c r="I151" s="3" t="s">
        <v>5893</v>
      </c>
      <c r="J151" s="3" t="s">
        <v>5536</v>
      </c>
      <c r="K151" s="3" t="s">
        <v>5727</v>
      </c>
      <c r="L151" s="8" t="str">
        <f>HYPERLINK("http://slimages.macys.com/is/image/MCY/15238818 ")</f>
        <v xml:space="preserve">http://slimages.macys.com/is/image/MCY/15238818 </v>
      </c>
    </row>
    <row r="152" spans="1:12" x14ac:dyDescent="0.25">
      <c r="A152" s="6" t="s">
        <v>2961</v>
      </c>
      <c r="B152" s="3" t="s">
        <v>2962</v>
      </c>
      <c r="C152" s="4">
        <v>1</v>
      </c>
      <c r="D152" s="5">
        <v>79.5</v>
      </c>
      <c r="E152" s="4">
        <v>100063540</v>
      </c>
      <c r="F152" s="3" t="s">
        <v>5745</v>
      </c>
      <c r="G152" s="7" t="s">
        <v>5598</v>
      </c>
      <c r="H152" s="3" t="s">
        <v>5585</v>
      </c>
      <c r="I152" s="3" t="s">
        <v>5734</v>
      </c>
      <c r="J152" s="3" t="s">
        <v>5536</v>
      </c>
      <c r="K152" s="3" t="s">
        <v>5727</v>
      </c>
      <c r="L152" s="8" t="str">
        <f>HYPERLINK("http://slimages.macys.com/is/image/MCY/14324127 ")</f>
        <v xml:space="preserve">http://slimages.macys.com/is/image/MCY/14324127 </v>
      </c>
    </row>
    <row r="153" spans="1:12" ht="24.75" x14ac:dyDescent="0.25">
      <c r="A153" s="6" t="s">
        <v>2963</v>
      </c>
      <c r="B153" s="3" t="s">
        <v>2964</v>
      </c>
      <c r="C153" s="4">
        <v>1</v>
      </c>
      <c r="D153" s="5">
        <v>75</v>
      </c>
      <c r="E153" s="4" t="s">
        <v>2965</v>
      </c>
      <c r="F153" s="3" t="s">
        <v>5783</v>
      </c>
      <c r="G153" s="7"/>
      <c r="H153" s="3" t="s">
        <v>5585</v>
      </c>
      <c r="I153" s="3" t="s">
        <v>2737</v>
      </c>
      <c r="J153" s="3" t="s">
        <v>5536</v>
      </c>
      <c r="K153" s="3" t="s">
        <v>5574</v>
      </c>
      <c r="L153" s="8" t="str">
        <f>HYPERLINK("http://slimages.macys.com/is/image/MCY/10790044 ")</f>
        <v xml:space="preserve">http://slimages.macys.com/is/image/MCY/10790044 </v>
      </c>
    </row>
    <row r="154" spans="1:12" ht="24.75" x14ac:dyDescent="0.25">
      <c r="A154" s="6" t="s">
        <v>2966</v>
      </c>
      <c r="B154" s="3" t="s">
        <v>2967</v>
      </c>
      <c r="C154" s="4">
        <v>1</v>
      </c>
      <c r="D154" s="5">
        <v>79.5</v>
      </c>
      <c r="E154" s="4" t="s">
        <v>2968</v>
      </c>
      <c r="F154" s="3" t="s">
        <v>6275</v>
      </c>
      <c r="G154" s="7" t="s">
        <v>2969</v>
      </c>
      <c r="H154" s="3" t="s">
        <v>5955</v>
      </c>
      <c r="I154" s="3" t="s">
        <v>5734</v>
      </c>
      <c r="J154" s="3" t="s">
        <v>5536</v>
      </c>
      <c r="K154" s="3" t="s">
        <v>2970</v>
      </c>
      <c r="L154" s="8" t="str">
        <f>HYPERLINK("http://slimages.macys.com/is/image/MCY/3882483 ")</f>
        <v xml:space="preserve">http://slimages.macys.com/is/image/MCY/3882483 </v>
      </c>
    </row>
    <row r="155" spans="1:12" ht="24.75" x14ac:dyDescent="0.25">
      <c r="A155" s="6" t="s">
        <v>2971</v>
      </c>
      <c r="B155" s="3" t="s">
        <v>2972</v>
      </c>
      <c r="C155" s="4">
        <v>1</v>
      </c>
      <c r="D155" s="5">
        <v>39.99</v>
      </c>
      <c r="E155" s="4" t="s">
        <v>2973</v>
      </c>
      <c r="F155" s="3" t="s">
        <v>5820</v>
      </c>
      <c r="G155" s="7" t="s">
        <v>5999</v>
      </c>
      <c r="H155" s="3" t="s">
        <v>5892</v>
      </c>
      <c r="I155" s="3" t="s">
        <v>5893</v>
      </c>
      <c r="J155" s="3" t="s">
        <v>5536</v>
      </c>
      <c r="K155" s="3" t="s">
        <v>5984</v>
      </c>
      <c r="L155" s="8" t="str">
        <f>HYPERLINK("http://slimages.macys.com/is/image/MCY/15240494 ")</f>
        <v xml:space="preserve">http://slimages.macys.com/is/image/MCY/15240494 </v>
      </c>
    </row>
    <row r="156" spans="1:12" ht="24.75" x14ac:dyDescent="0.25">
      <c r="A156" s="6" t="s">
        <v>2974</v>
      </c>
      <c r="B156" s="3" t="s">
        <v>2972</v>
      </c>
      <c r="C156" s="4">
        <v>1</v>
      </c>
      <c r="D156" s="5">
        <v>39.99</v>
      </c>
      <c r="E156" s="4" t="s">
        <v>2973</v>
      </c>
      <c r="F156" s="3" t="s">
        <v>5552</v>
      </c>
      <c r="G156" s="7" t="s">
        <v>6862</v>
      </c>
      <c r="H156" s="3" t="s">
        <v>5892</v>
      </c>
      <c r="I156" s="3" t="s">
        <v>5893</v>
      </c>
      <c r="J156" s="3" t="s">
        <v>5536</v>
      </c>
      <c r="K156" s="3" t="s">
        <v>5984</v>
      </c>
      <c r="L156" s="8" t="str">
        <f>HYPERLINK("http://slimages.macys.com/is/image/MCY/15240497 ")</f>
        <v xml:space="preserve">http://slimages.macys.com/is/image/MCY/15240497 </v>
      </c>
    </row>
    <row r="157" spans="1:12" ht="36.75" x14ac:dyDescent="0.25">
      <c r="A157" s="6" t="s">
        <v>2975</v>
      </c>
      <c r="B157" s="3" t="s">
        <v>2976</v>
      </c>
      <c r="C157" s="4">
        <v>1</v>
      </c>
      <c r="D157" s="5">
        <v>18</v>
      </c>
      <c r="E157" s="4" t="s">
        <v>2977</v>
      </c>
      <c r="F157" s="3" t="s">
        <v>5532</v>
      </c>
      <c r="G157" s="7" t="s">
        <v>5562</v>
      </c>
      <c r="H157" s="3" t="s">
        <v>6131</v>
      </c>
      <c r="I157" s="3" t="s">
        <v>2978</v>
      </c>
      <c r="J157" s="3" t="s">
        <v>5536</v>
      </c>
      <c r="K157" s="3" t="s">
        <v>6140</v>
      </c>
      <c r="L157" s="8" t="str">
        <f>HYPERLINK("http://slimages.macys.com/is/image/MCY/10212862 ")</f>
        <v xml:space="preserve">http://slimages.macys.com/is/image/MCY/10212862 </v>
      </c>
    </row>
    <row r="158" spans="1:12" ht="24.75" x14ac:dyDescent="0.25">
      <c r="A158" s="6" t="s">
        <v>2979</v>
      </c>
      <c r="B158" s="3" t="s">
        <v>2980</v>
      </c>
      <c r="C158" s="4">
        <v>1</v>
      </c>
      <c r="D158" s="5">
        <v>18</v>
      </c>
      <c r="E158" s="4" t="s">
        <v>2981</v>
      </c>
      <c r="F158" s="3" t="s">
        <v>5640</v>
      </c>
      <c r="G158" s="7" t="s">
        <v>5560</v>
      </c>
      <c r="H158" s="3" t="s">
        <v>6131</v>
      </c>
      <c r="I158" s="3" t="s">
        <v>2978</v>
      </c>
      <c r="J158" s="3" t="s">
        <v>5536</v>
      </c>
      <c r="K158" s="3" t="s">
        <v>6133</v>
      </c>
      <c r="L158" s="8" t="str">
        <f>HYPERLINK("http://slimages.macys.com/is/image/MCY/10388227 ")</f>
        <v xml:space="preserve">http://slimages.macys.com/is/image/MCY/10388227 </v>
      </c>
    </row>
    <row r="159" spans="1:12" ht="36.75" x14ac:dyDescent="0.25">
      <c r="A159" s="6" t="s">
        <v>2982</v>
      </c>
      <c r="B159" s="3" t="s">
        <v>2976</v>
      </c>
      <c r="C159" s="4">
        <v>1</v>
      </c>
      <c r="D159" s="5">
        <v>18</v>
      </c>
      <c r="E159" s="4" t="s">
        <v>2977</v>
      </c>
      <c r="F159" s="3" t="s">
        <v>5532</v>
      </c>
      <c r="G159" s="7" t="s">
        <v>5596</v>
      </c>
      <c r="H159" s="3" t="s">
        <v>6131</v>
      </c>
      <c r="I159" s="3" t="s">
        <v>2978</v>
      </c>
      <c r="J159" s="3" t="s">
        <v>5536</v>
      </c>
      <c r="K159" s="3" t="s">
        <v>6140</v>
      </c>
      <c r="L159" s="8" t="str">
        <f>HYPERLINK("http://slimages.macys.com/is/image/MCY/10212862 ")</f>
        <v xml:space="preserve">http://slimages.macys.com/is/image/MCY/10212862 </v>
      </c>
    </row>
    <row r="160" spans="1:12" ht="24.75" x14ac:dyDescent="0.25">
      <c r="A160" s="6" t="s">
        <v>5985</v>
      </c>
      <c r="B160" s="3" t="s">
        <v>5986</v>
      </c>
      <c r="C160" s="4">
        <v>1</v>
      </c>
      <c r="D160" s="5">
        <v>46.2</v>
      </c>
      <c r="E160" s="4" t="s">
        <v>5987</v>
      </c>
      <c r="F160" s="3" t="s">
        <v>5540</v>
      </c>
      <c r="G160" s="7" t="s">
        <v>5898</v>
      </c>
      <c r="H160" s="3" t="s">
        <v>5842</v>
      </c>
      <c r="I160" s="3" t="s">
        <v>5904</v>
      </c>
      <c r="J160" s="3" t="s">
        <v>5536</v>
      </c>
      <c r="K160" s="3" t="s">
        <v>5984</v>
      </c>
      <c r="L160" s="8" t="str">
        <f>HYPERLINK("http://slimages.macys.com/is/image/MCY/14312374 ")</f>
        <v xml:space="preserve">http://slimages.macys.com/is/image/MCY/14312374 </v>
      </c>
    </row>
    <row r="161" spans="1:12" ht="24.75" x14ac:dyDescent="0.25">
      <c r="A161" s="6" t="s">
        <v>2983</v>
      </c>
      <c r="B161" s="3" t="s">
        <v>2980</v>
      </c>
      <c r="C161" s="4">
        <v>1</v>
      </c>
      <c r="D161" s="5">
        <v>18</v>
      </c>
      <c r="E161" s="4" t="s">
        <v>2981</v>
      </c>
      <c r="F161" s="3" t="s">
        <v>5640</v>
      </c>
      <c r="G161" s="7" t="s">
        <v>5562</v>
      </c>
      <c r="H161" s="3" t="s">
        <v>6131</v>
      </c>
      <c r="I161" s="3" t="s">
        <v>2978</v>
      </c>
      <c r="J161" s="3" t="s">
        <v>5536</v>
      </c>
      <c r="K161" s="3" t="s">
        <v>6133</v>
      </c>
      <c r="L161" s="8" t="str">
        <f>HYPERLINK("http://slimages.macys.com/is/image/MCY/10388227 ")</f>
        <v xml:space="preserve">http://slimages.macys.com/is/image/MCY/10388227 </v>
      </c>
    </row>
    <row r="162" spans="1:12" x14ac:dyDescent="0.25">
      <c r="A162" s="6" t="s">
        <v>2984</v>
      </c>
      <c r="B162" s="3" t="s">
        <v>2985</v>
      </c>
      <c r="C162" s="4">
        <v>1</v>
      </c>
      <c r="D162" s="5">
        <v>59.5</v>
      </c>
      <c r="E162" s="4">
        <v>100068751</v>
      </c>
      <c r="F162" s="3" t="s">
        <v>5540</v>
      </c>
      <c r="G162" s="7" t="s">
        <v>5562</v>
      </c>
      <c r="H162" s="3" t="s">
        <v>5585</v>
      </c>
      <c r="I162" s="3" t="s">
        <v>5734</v>
      </c>
      <c r="J162" s="3" t="s">
        <v>5536</v>
      </c>
      <c r="K162" s="3" t="s">
        <v>2986</v>
      </c>
      <c r="L162" s="8" t="str">
        <f>HYPERLINK("http://slimages.macys.com/is/image/MCY/14807457 ")</f>
        <v xml:space="preserve">http://slimages.macys.com/is/image/MCY/14807457 </v>
      </c>
    </row>
    <row r="163" spans="1:12" ht="24.75" x14ac:dyDescent="0.25">
      <c r="A163" s="6" t="s">
        <v>2987</v>
      </c>
      <c r="B163" s="3" t="s">
        <v>5997</v>
      </c>
      <c r="C163" s="4">
        <v>1</v>
      </c>
      <c r="D163" s="5">
        <v>38.99</v>
      </c>
      <c r="E163" s="4" t="s">
        <v>5998</v>
      </c>
      <c r="F163" s="3" t="s">
        <v>5532</v>
      </c>
      <c r="G163" s="7" t="s">
        <v>6848</v>
      </c>
      <c r="H163" s="3" t="s">
        <v>5892</v>
      </c>
      <c r="I163" s="3" t="s">
        <v>5893</v>
      </c>
      <c r="J163" s="3" t="s">
        <v>5536</v>
      </c>
      <c r="K163" s="3" t="s">
        <v>5549</v>
      </c>
      <c r="L163" s="8" t="str">
        <f>HYPERLINK("http://slimages.macys.com/is/image/MCY/15239055 ")</f>
        <v xml:space="preserve">http://slimages.macys.com/is/image/MCY/15239055 </v>
      </c>
    </row>
    <row r="164" spans="1:12" ht="24.75" x14ac:dyDescent="0.25">
      <c r="A164" s="6" t="s">
        <v>2988</v>
      </c>
      <c r="B164" s="3" t="s">
        <v>2989</v>
      </c>
      <c r="C164" s="4">
        <v>1</v>
      </c>
      <c r="D164" s="5">
        <v>38.99</v>
      </c>
      <c r="E164" s="4" t="s">
        <v>2990</v>
      </c>
      <c r="F164" s="3" t="s">
        <v>5540</v>
      </c>
      <c r="G164" s="7" t="s">
        <v>3886</v>
      </c>
      <c r="H164" s="3" t="s">
        <v>5892</v>
      </c>
      <c r="I164" s="3" t="s">
        <v>5893</v>
      </c>
      <c r="J164" s="3" t="s">
        <v>5536</v>
      </c>
      <c r="K164" s="3" t="s">
        <v>5549</v>
      </c>
      <c r="L164" s="8" t="str">
        <f>HYPERLINK("http://slimages.macys.com/is/image/MCY/15363770 ")</f>
        <v xml:space="preserve">http://slimages.macys.com/is/image/MCY/15363770 </v>
      </c>
    </row>
    <row r="165" spans="1:12" ht="24.75" x14ac:dyDescent="0.25">
      <c r="A165" s="6" t="s">
        <v>2991</v>
      </c>
      <c r="B165" s="3" t="s">
        <v>5997</v>
      </c>
      <c r="C165" s="4">
        <v>1</v>
      </c>
      <c r="D165" s="5">
        <v>38.99</v>
      </c>
      <c r="E165" s="4" t="s">
        <v>5998</v>
      </c>
      <c r="F165" s="3" t="s">
        <v>5532</v>
      </c>
      <c r="G165" s="7" t="s">
        <v>5582</v>
      </c>
      <c r="H165" s="3" t="s">
        <v>5892</v>
      </c>
      <c r="I165" s="3" t="s">
        <v>5893</v>
      </c>
      <c r="J165" s="3" t="s">
        <v>5536</v>
      </c>
      <c r="K165" s="3" t="s">
        <v>5549</v>
      </c>
      <c r="L165" s="8" t="str">
        <f>HYPERLINK("http://slimages.macys.com/is/image/MCY/15239055 ")</f>
        <v xml:space="preserve">http://slimages.macys.com/is/image/MCY/15239055 </v>
      </c>
    </row>
    <row r="166" spans="1:12" ht="24.75" x14ac:dyDescent="0.25">
      <c r="A166" s="6" t="s">
        <v>2992</v>
      </c>
      <c r="B166" s="3" t="s">
        <v>2993</v>
      </c>
      <c r="C166" s="4">
        <v>1</v>
      </c>
      <c r="D166" s="5">
        <v>38</v>
      </c>
      <c r="E166" s="4" t="s">
        <v>2994</v>
      </c>
      <c r="F166" s="3" t="s">
        <v>5552</v>
      </c>
      <c r="G166" s="7" t="s">
        <v>5582</v>
      </c>
      <c r="H166" s="3" t="s">
        <v>7152</v>
      </c>
      <c r="I166" s="3" t="s">
        <v>7153</v>
      </c>
      <c r="J166" s="3" t="s">
        <v>5536</v>
      </c>
      <c r="K166" s="3" t="s">
        <v>2995</v>
      </c>
      <c r="L166" s="8" t="str">
        <f>HYPERLINK("http://slimages.macys.com/is/image/MCY/14813498 ")</f>
        <v xml:space="preserve">http://slimages.macys.com/is/image/MCY/14813498 </v>
      </c>
    </row>
    <row r="167" spans="1:12" x14ac:dyDescent="0.25">
      <c r="A167" s="6" t="s">
        <v>2996</v>
      </c>
      <c r="B167" s="3" t="s">
        <v>2997</v>
      </c>
      <c r="C167" s="4">
        <v>1</v>
      </c>
      <c r="D167" s="5">
        <v>79.5</v>
      </c>
      <c r="E167" s="4">
        <v>100077669</v>
      </c>
      <c r="F167" s="3" t="s">
        <v>5540</v>
      </c>
      <c r="G167" s="7" t="s">
        <v>5562</v>
      </c>
      <c r="H167" s="3" t="s">
        <v>5585</v>
      </c>
      <c r="I167" s="3" t="s">
        <v>5734</v>
      </c>
      <c r="J167" s="3" t="s">
        <v>5536</v>
      </c>
      <c r="K167" s="3" t="s">
        <v>5574</v>
      </c>
      <c r="L167" s="8" t="str">
        <f>HYPERLINK("http://slimages.macys.com/is/image/MCY/14630035 ")</f>
        <v xml:space="preserve">http://slimages.macys.com/is/image/MCY/14630035 </v>
      </c>
    </row>
    <row r="168" spans="1:12" x14ac:dyDescent="0.25">
      <c r="A168" s="6" t="s">
        <v>2998</v>
      </c>
      <c r="B168" s="3" t="s">
        <v>2997</v>
      </c>
      <c r="C168" s="4">
        <v>1</v>
      </c>
      <c r="D168" s="5">
        <v>79.5</v>
      </c>
      <c r="E168" s="4">
        <v>100077669</v>
      </c>
      <c r="F168" s="3" t="s">
        <v>5540</v>
      </c>
      <c r="G168" s="7" t="s">
        <v>5596</v>
      </c>
      <c r="H168" s="3" t="s">
        <v>5585</v>
      </c>
      <c r="I168" s="3" t="s">
        <v>5734</v>
      </c>
      <c r="J168" s="3" t="s">
        <v>5536</v>
      </c>
      <c r="K168" s="3" t="s">
        <v>5574</v>
      </c>
      <c r="L168" s="8" t="str">
        <f>HYPERLINK("http://slimages.macys.com/is/image/MCY/14630035 ")</f>
        <v xml:space="preserve">http://slimages.macys.com/is/image/MCY/14630035 </v>
      </c>
    </row>
    <row r="169" spans="1:12" ht="24.75" x14ac:dyDescent="0.25">
      <c r="A169" s="6" t="s">
        <v>2999</v>
      </c>
      <c r="B169" s="3" t="s">
        <v>2997</v>
      </c>
      <c r="C169" s="4">
        <v>1</v>
      </c>
      <c r="D169" s="5">
        <v>79.5</v>
      </c>
      <c r="E169" s="4">
        <v>100077669</v>
      </c>
      <c r="F169" s="3" t="s">
        <v>5578</v>
      </c>
      <c r="G169" s="7" t="s">
        <v>5733</v>
      </c>
      <c r="H169" s="3" t="s">
        <v>5585</v>
      </c>
      <c r="I169" s="3" t="s">
        <v>5734</v>
      </c>
      <c r="J169" s="3" t="s">
        <v>5536</v>
      </c>
      <c r="K169" s="3" t="s">
        <v>5574</v>
      </c>
      <c r="L169" s="8" t="str">
        <f>HYPERLINK("http://slimages.macys.com/is/image/MCY/14630035 ")</f>
        <v xml:space="preserve">http://slimages.macys.com/is/image/MCY/14630035 </v>
      </c>
    </row>
    <row r="170" spans="1:12" ht="24.75" x14ac:dyDescent="0.25">
      <c r="A170" s="6" t="s">
        <v>3000</v>
      </c>
      <c r="B170" s="3" t="s">
        <v>2997</v>
      </c>
      <c r="C170" s="4">
        <v>1</v>
      </c>
      <c r="D170" s="5">
        <v>79.5</v>
      </c>
      <c r="E170" s="4">
        <v>100077669</v>
      </c>
      <c r="F170" s="3" t="s">
        <v>5610</v>
      </c>
      <c r="G170" s="7" t="s">
        <v>5733</v>
      </c>
      <c r="H170" s="3" t="s">
        <v>5585</v>
      </c>
      <c r="I170" s="3" t="s">
        <v>5734</v>
      </c>
      <c r="J170" s="3" t="s">
        <v>5536</v>
      </c>
      <c r="K170" s="3" t="s">
        <v>5574</v>
      </c>
      <c r="L170" s="8" t="str">
        <f>HYPERLINK("http://slimages.macys.com/is/image/MCY/14630035 ")</f>
        <v xml:space="preserve">http://slimages.macys.com/is/image/MCY/14630035 </v>
      </c>
    </row>
    <row r="171" spans="1:12" ht="24.75" x14ac:dyDescent="0.25">
      <c r="A171" s="6" t="s">
        <v>3001</v>
      </c>
      <c r="B171" s="3" t="s">
        <v>3002</v>
      </c>
      <c r="C171" s="4">
        <v>1</v>
      </c>
      <c r="D171" s="5">
        <v>34.99</v>
      </c>
      <c r="E171" s="4" t="s">
        <v>3003</v>
      </c>
      <c r="F171" s="3" t="s">
        <v>5578</v>
      </c>
      <c r="G171" s="7" t="s">
        <v>5533</v>
      </c>
      <c r="H171" s="3" t="s">
        <v>6003</v>
      </c>
      <c r="I171" s="3" t="s">
        <v>6004</v>
      </c>
      <c r="J171" s="3" t="s">
        <v>5536</v>
      </c>
      <c r="K171" s="3" t="s">
        <v>4803</v>
      </c>
      <c r="L171" s="8" t="str">
        <f>HYPERLINK("http://slimages.macys.com/is/image/MCY/14766687 ")</f>
        <v xml:space="preserve">http://slimages.macys.com/is/image/MCY/14766687 </v>
      </c>
    </row>
    <row r="172" spans="1:12" ht="24.75" x14ac:dyDescent="0.25">
      <c r="A172" s="6" t="s">
        <v>3004</v>
      </c>
      <c r="B172" s="3" t="s">
        <v>3005</v>
      </c>
      <c r="C172" s="4">
        <v>1</v>
      </c>
      <c r="D172" s="5">
        <v>35</v>
      </c>
      <c r="E172" s="4">
        <v>502.17527899999999</v>
      </c>
      <c r="F172" s="3" t="s">
        <v>5783</v>
      </c>
      <c r="G172" s="7" t="s">
        <v>5596</v>
      </c>
      <c r="H172" s="3" t="s">
        <v>7152</v>
      </c>
      <c r="I172" s="3" t="s">
        <v>3006</v>
      </c>
      <c r="J172" s="3" t="s">
        <v>5536</v>
      </c>
      <c r="K172" s="3" t="s">
        <v>5594</v>
      </c>
      <c r="L172" s="8" t="str">
        <f>HYPERLINK("http://slimages.macys.com/is/image/MCY/12328669 ")</f>
        <v xml:space="preserve">http://slimages.macys.com/is/image/MCY/12328669 </v>
      </c>
    </row>
    <row r="173" spans="1:12" x14ac:dyDescent="0.25">
      <c r="A173" s="6" t="s">
        <v>3007</v>
      </c>
      <c r="B173" s="3" t="s">
        <v>6007</v>
      </c>
      <c r="C173" s="4">
        <v>1</v>
      </c>
      <c r="D173" s="5">
        <v>69.5</v>
      </c>
      <c r="E173" s="4">
        <v>100082811</v>
      </c>
      <c r="F173" s="3" t="s">
        <v>5783</v>
      </c>
      <c r="G173" s="7" t="s">
        <v>5598</v>
      </c>
      <c r="H173" s="3" t="s">
        <v>5585</v>
      </c>
      <c r="I173" s="3" t="s">
        <v>5734</v>
      </c>
      <c r="J173" s="3" t="s">
        <v>5536</v>
      </c>
      <c r="K173" s="3" t="s">
        <v>5594</v>
      </c>
      <c r="L173" s="8" t="str">
        <f>HYPERLINK("http://slimages.macys.com/is/image/MCY/15861495 ")</f>
        <v xml:space="preserve">http://slimages.macys.com/is/image/MCY/15861495 </v>
      </c>
    </row>
    <row r="174" spans="1:12" ht="24.75" x14ac:dyDescent="0.25">
      <c r="A174" s="6" t="s">
        <v>3008</v>
      </c>
      <c r="B174" s="3" t="s">
        <v>3009</v>
      </c>
      <c r="C174" s="4">
        <v>1</v>
      </c>
      <c r="D174" s="5">
        <v>52</v>
      </c>
      <c r="E174" s="4">
        <v>100026307</v>
      </c>
      <c r="F174" s="3" t="s">
        <v>5604</v>
      </c>
      <c r="G174" s="7" t="s">
        <v>5658</v>
      </c>
      <c r="H174" s="3" t="s">
        <v>6019</v>
      </c>
      <c r="I174" s="3" t="s">
        <v>6020</v>
      </c>
      <c r="J174" s="3" t="s">
        <v>5536</v>
      </c>
      <c r="K174" s="3" t="s">
        <v>6021</v>
      </c>
      <c r="L174" s="8" t="str">
        <f>HYPERLINK("http://slimages.macys.com/is/image/MCY/9903239 ")</f>
        <v xml:space="preserve">http://slimages.macys.com/is/image/MCY/9903239 </v>
      </c>
    </row>
    <row r="175" spans="1:12" ht="24.75" x14ac:dyDescent="0.25">
      <c r="A175" s="6" t="s">
        <v>3010</v>
      </c>
      <c r="B175" s="3" t="s">
        <v>3011</v>
      </c>
      <c r="C175" s="4">
        <v>1</v>
      </c>
      <c r="D175" s="5">
        <v>39.99</v>
      </c>
      <c r="E175" s="4" t="s">
        <v>3012</v>
      </c>
      <c r="F175" s="3" t="s">
        <v>5532</v>
      </c>
      <c r="G175" s="7" t="s">
        <v>5596</v>
      </c>
      <c r="H175" s="3" t="s">
        <v>6065</v>
      </c>
      <c r="I175" s="3" t="s">
        <v>6066</v>
      </c>
      <c r="J175" s="3" t="s">
        <v>5536</v>
      </c>
      <c r="K175" s="3" t="s">
        <v>5864</v>
      </c>
      <c r="L175" s="8" t="str">
        <f>HYPERLINK("http://slimages.macys.com/is/image/MCY/15858708 ")</f>
        <v xml:space="preserve">http://slimages.macys.com/is/image/MCY/15858708 </v>
      </c>
    </row>
    <row r="176" spans="1:12" x14ac:dyDescent="0.25">
      <c r="A176" s="6" t="s">
        <v>3013</v>
      </c>
      <c r="B176" s="3" t="s">
        <v>4031</v>
      </c>
      <c r="C176" s="4">
        <v>1</v>
      </c>
      <c r="D176" s="5">
        <v>49.5</v>
      </c>
      <c r="E176" s="4">
        <v>100033772</v>
      </c>
      <c r="F176" s="3" t="s">
        <v>5610</v>
      </c>
      <c r="G176" s="7" t="s">
        <v>5560</v>
      </c>
      <c r="H176" s="3" t="s">
        <v>5585</v>
      </c>
      <c r="I176" s="3" t="s">
        <v>5734</v>
      </c>
      <c r="J176" s="3" t="s">
        <v>5536</v>
      </c>
      <c r="K176" s="3" t="s">
        <v>5594</v>
      </c>
      <c r="L176" s="8" t="str">
        <f>HYPERLINK("http://slimages.macys.com/is/image/MCY/10217036 ")</f>
        <v xml:space="preserve">http://slimages.macys.com/is/image/MCY/10217036 </v>
      </c>
    </row>
    <row r="177" spans="1:12" x14ac:dyDescent="0.25">
      <c r="A177" s="6" t="s">
        <v>3014</v>
      </c>
      <c r="B177" s="3" t="s">
        <v>4031</v>
      </c>
      <c r="C177" s="4">
        <v>1</v>
      </c>
      <c r="D177" s="5">
        <v>49.5</v>
      </c>
      <c r="E177" s="4">
        <v>100033772</v>
      </c>
      <c r="F177" s="3" t="s">
        <v>5610</v>
      </c>
      <c r="G177" s="7" t="s">
        <v>5562</v>
      </c>
      <c r="H177" s="3" t="s">
        <v>5585</v>
      </c>
      <c r="I177" s="3" t="s">
        <v>5734</v>
      </c>
      <c r="J177" s="3" t="s">
        <v>5536</v>
      </c>
      <c r="K177" s="3" t="s">
        <v>5594</v>
      </c>
      <c r="L177" s="8" t="str">
        <f>HYPERLINK("http://slimages.macys.com/is/image/MCY/10217036 ")</f>
        <v xml:space="preserve">http://slimages.macys.com/is/image/MCY/10217036 </v>
      </c>
    </row>
    <row r="178" spans="1:12" ht="24.75" x14ac:dyDescent="0.25">
      <c r="A178" s="6" t="s">
        <v>3015</v>
      </c>
      <c r="B178" s="3" t="s">
        <v>6034</v>
      </c>
      <c r="C178" s="4">
        <v>1</v>
      </c>
      <c r="D178" s="5">
        <v>36.99</v>
      </c>
      <c r="E178" s="4" t="s">
        <v>3016</v>
      </c>
      <c r="F178" s="3" t="s">
        <v>5661</v>
      </c>
      <c r="G178" s="7" t="s">
        <v>5835</v>
      </c>
      <c r="H178" s="3" t="s">
        <v>6026</v>
      </c>
      <c r="I178" s="3" t="s">
        <v>6027</v>
      </c>
      <c r="J178" s="3" t="s">
        <v>5536</v>
      </c>
      <c r="K178" s="3" t="s">
        <v>5641</v>
      </c>
      <c r="L178" s="8" t="str">
        <f>HYPERLINK("http://slimages.macys.com/is/image/MCY/14575371 ")</f>
        <v xml:space="preserve">http://slimages.macys.com/is/image/MCY/14575371 </v>
      </c>
    </row>
    <row r="179" spans="1:12" ht="24.75" x14ac:dyDescent="0.25">
      <c r="A179" s="6" t="s">
        <v>3017</v>
      </c>
      <c r="B179" s="3" t="s">
        <v>6034</v>
      </c>
      <c r="C179" s="4">
        <v>1</v>
      </c>
      <c r="D179" s="5">
        <v>36.99</v>
      </c>
      <c r="E179" s="4" t="s">
        <v>3016</v>
      </c>
      <c r="F179" s="3" t="s">
        <v>5661</v>
      </c>
      <c r="G179" s="7" t="s">
        <v>5766</v>
      </c>
      <c r="H179" s="3" t="s">
        <v>6026</v>
      </c>
      <c r="I179" s="3" t="s">
        <v>6027</v>
      </c>
      <c r="J179" s="3" t="s">
        <v>5536</v>
      </c>
      <c r="K179" s="3" t="s">
        <v>5641</v>
      </c>
      <c r="L179" s="8" t="str">
        <f>HYPERLINK("http://slimages.macys.com/is/image/MCY/14575371 ")</f>
        <v xml:space="preserve">http://slimages.macys.com/is/image/MCY/14575371 </v>
      </c>
    </row>
    <row r="180" spans="1:12" ht="24.75" x14ac:dyDescent="0.25">
      <c r="A180" s="6" t="s">
        <v>3018</v>
      </c>
      <c r="B180" s="3" t="s">
        <v>6034</v>
      </c>
      <c r="C180" s="4">
        <v>1</v>
      </c>
      <c r="D180" s="5">
        <v>36.99</v>
      </c>
      <c r="E180" s="4" t="s">
        <v>6035</v>
      </c>
      <c r="F180" s="3" t="s">
        <v>5793</v>
      </c>
      <c r="G180" s="7"/>
      <c r="H180" s="3" t="s">
        <v>6026</v>
      </c>
      <c r="I180" s="3" t="s">
        <v>6027</v>
      </c>
      <c r="J180" s="3" t="s">
        <v>5536</v>
      </c>
      <c r="K180" s="3" t="s">
        <v>5641</v>
      </c>
      <c r="L180" s="8" t="str">
        <f>HYPERLINK("http://slimages.macys.com/is/image/MCY/15797564 ")</f>
        <v xml:space="preserve">http://slimages.macys.com/is/image/MCY/15797564 </v>
      </c>
    </row>
    <row r="181" spans="1:12" ht="24.75" x14ac:dyDescent="0.25">
      <c r="A181" s="6" t="s">
        <v>6044</v>
      </c>
      <c r="B181" s="3" t="s">
        <v>6045</v>
      </c>
      <c r="C181" s="4">
        <v>1</v>
      </c>
      <c r="D181" s="5">
        <v>36.99</v>
      </c>
      <c r="E181" s="4" t="s">
        <v>6046</v>
      </c>
      <c r="F181" s="3" t="s">
        <v>5604</v>
      </c>
      <c r="G181" s="7" t="s">
        <v>5764</v>
      </c>
      <c r="H181" s="3" t="s">
        <v>6026</v>
      </c>
      <c r="I181" s="3" t="s">
        <v>6027</v>
      </c>
      <c r="J181" s="3" t="s">
        <v>5536</v>
      </c>
      <c r="K181" s="3" t="s">
        <v>5641</v>
      </c>
      <c r="L181" s="8" t="str">
        <f>HYPERLINK("http://slimages.macys.com/is/image/MCY/14722493 ")</f>
        <v xml:space="preserve">http://slimages.macys.com/is/image/MCY/14722493 </v>
      </c>
    </row>
    <row r="182" spans="1:12" ht="24.75" x14ac:dyDescent="0.25">
      <c r="A182" s="6" t="s">
        <v>3019</v>
      </c>
      <c r="B182" s="3" t="s">
        <v>6034</v>
      </c>
      <c r="C182" s="4">
        <v>1</v>
      </c>
      <c r="D182" s="5">
        <v>36.99</v>
      </c>
      <c r="E182" s="4" t="s">
        <v>2208</v>
      </c>
      <c r="F182" s="3" t="s">
        <v>6146</v>
      </c>
      <c r="G182" s="7"/>
      <c r="H182" s="3" t="s">
        <v>6026</v>
      </c>
      <c r="I182" s="3" t="s">
        <v>6027</v>
      </c>
      <c r="J182" s="3" t="s">
        <v>5536</v>
      </c>
      <c r="K182" s="3" t="s">
        <v>5641</v>
      </c>
      <c r="L182" s="8" t="str">
        <f>HYPERLINK("http://slimages.macys.com/is/image/MCY/14722435 ")</f>
        <v xml:space="preserve">http://slimages.macys.com/is/image/MCY/14722435 </v>
      </c>
    </row>
    <row r="183" spans="1:12" ht="24.75" x14ac:dyDescent="0.25">
      <c r="A183" s="6" t="s">
        <v>3020</v>
      </c>
      <c r="B183" s="3" t="s">
        <v>2205</v>
      </c>
      <c r="C183" s="4">
        <v>1</v>
      </c>
      <c r="D183" s="5">
        <v>36.99</v>
      </c>
      <c r="E183" s="4" t="s">
        <v>2206</v>
      </c>
      <c r="F183" s="3" t="s">
        <v>5566</v>
      </c>
      <c r="G183" s="7" t="s">
        <v>6476</v>
      </c>
      <c r="H183" s="3" t="s">
        <v>6026</v>
      </c>
      <c r="I183" s="3" t="s">
        <v>6027</v>
      </c>
      <c r="J183" s="3" t="s">
        <v>5536</v>
      </c>
      <c r="K183" s="3" t="s">
        <v>5641</v>
      </c>
      <c r="L183" s="8" t="str">
        <f>HYPERLINK("http://slimages.macys.com/is/image/MCY/15953887 ")</f>
        <v xml:space="preserve">http://slimages.macys.com/is/image/MCY/15953887 </v>
      </c>
    </row>
    <row r="184" spans="1:12" ht="24.75" x14ac:dyDescent="0.25">
      <c r="A184" s="6" t="s">
        <v>3021</v>
      </c>
      <c r="B184" s="3" t="s">
        <v>2205</v>
      </c>
      <c r="C184" s="4">
        <v>1</v>
      </c>
      <c r="D184" s="5">
        <v>36.99</v>
      </c>
      <c r="E184" s="4" t="s">
        <v>2206</v>
      </c>
      <c r="F184" s="3" t="s">
        <v>5566</v>
      </c>
      <c r="G184" s="7" t="s">
        <v>5835</v>
      </c>
      <c r="H184" s="3" t="s">
        <v>6026</v>
      </c>
      <c r="I184" s="3" t="s">
        <v>6027</v>
      </c>
      <c r="J184" s="3" t="s">
        <v>5536</v>
      </c>
      <c r="K184" s="3" t="s">
        <v>5641</v>
      </c>
      <c r="L184" s="8" t="str">
        <f>HYPERLINK("http://slimages.macys.com/is/image/MCY/15953887 ")</f>
        <v xml:space="preserve">http://slimages.macys.com/is/image/MCY/15953887 </v>
      </c>
    </row>
    <row r="185" spans="1:12" ht="24.75" x14ac:dyDescent="0.25">
      <c r="A185" s="6" t="s">
        <v>3022</v>
      </c>
      <c r="B185" s="3" t="s">
        <v>2205</v>
      </c>
      <c r="C185" s="4">
        <v>1</v>
      </c>
      <c r="D185" s="5">
        <v>36.99</v>
      </c>
      <c r="E185" s="4" t="s">
        <v>2206</v>
      </c>
      <c r="F185" s="3" t="s">
        <v>5566</v>
      </c>
      <c r="G185" s="7"/>
      <c r="H185" s="3" t="s">
        <v>6026</v>
      </c>
      <c r="I185" s="3" t="s">
        <v>6027</v>
      </c>
      <c r="J185" s="3" t="s">
        <v>5536</v>
      </c>
      <c r="K185" s="3" t="s">
        <v>5641</v>
      </c>
      <c r="L185" s="8" t="str">
        <f>HYPERLINK("http://slimages.macys.com/is/image/MCY/15953887 ")</f>
        <v xml:space="preserve">http://slimages.macys.com/is/image/MCY/15953887 </v>
      </c>
    </row>
    <row r="186" spans="1:12" ht="24.75" x14ac:dyDescent="0.25">
      <c r="A186" s="6" t="s">
        <v>3023</v>
      </c>
      <c r="B186" s="3" t="s">
        <v>6034</v>
      </c>
      <c r="C186" s="4">
        <v>1</v>
      </c>
      <c r="D186" s="5">
        <v>36.99</v>
      </c>
      <c r="E186" s="4" t="s">
        <v>2208</v>
      </c>
      <c r="F186" s="3" t="s">
        <v>5566</v>
      </c>
      <c r="G186" s="7" t="s">
        <v>5764</v>
      </c>
      <c r="H186" s="3" t="s">
        <v>6026</v>
      </c>
      <c r="I186" s="3" t="s">
        <v>6027</v>
      </c>
      <c r="J186" s="3" t="s">
        <v>5536</v>
      </c>
      <c r="K186" s="3" t="s">
        <v>5641</v>
      </c>
      <c r="L186" s="8" t="str">
        <f>HYPERLINK("http://slimages.macys.com/is/image/MCY/15796746 ")</f>
        <v xml:space="preserve">http://slimages.macys.com/is/image/MCY/15796746 </v>
      </c>
    </row>
    <row r="187" spans="1:12" ht="24.75" x14ac:dyDescent="0.25">
      <c r="A187" s="6" t="s">
        <v>3024</v>
      </c>
      <c r="B187" s="3" t="s">
        <v>4808</v>
      </c>
      <c r="C187" s="4">
        <v>1</v>
      </c>
      <c r="D187" s="5">
        <v>29.99</v>
      </c>
      <c r="E187" s="4" t="s">
        <v>4809</v>
      </c>
      <c r="F187" s="3" t="s">
        <v>5783</v>
      </c>
      <c r="G187" s="7" t="s">
        <v>5766</v>
      </c>
      <c r="H187" s="3" t="s">
        <v>5722</v>
      </c>
      <c r="I187" s="3" t="s">
        <v>4810</v>
      </c>
      <c r="J187" s="3" t="s">
        <v>5536</v>
      </c>
      <c r="K187" s="3" t="s">
        <v>5549</v>
      </c>
      <c r="L187" s="8" t="str">
        <f>HYPERLINK("http://slimages.macys.com/is/image/MCY/15798264 ")</f>
        <v xml:space="preserve">http://slimages.macys.com/is/image/MCY/15798264 </v>
      </c>
    </row>
    <row r="188" spans="1:12" ht="24.75" x14ac:dyDescent="0.25">
      <c r="A188" s="6" t="s">
        <v>3025</v>
      </c>
      <c r="B188" s="3" t="s">
        <v>2205</v>
      </c>
      <c r="C188" s="4">
        <v>1</v>
      </c>
      <c r="D188" s="5">
        <v>36.99</v>
      </c>
      <c r="E188" s="4" t="s">
        <v>2206</v>
      </c>
      <c r="F188" s="3" t="s">
        <v>5566</v>
      </c>
      <c r="G188" s="7" t="s">
        <v>6025</v>
      </c>
      <c r="H188" s="3" t="s">
        <v>6026</v>
      </c>
      <c r="I188" s="3" t="s">
        <v>6027</v>
      </c>
      <c r="J188" s="3" t="s">
        <v>5536</v>
      </c>
      <c r="K188" s="3" t="s">
        <v>5641</v>
      </c>
      <c r="L188" s="8" t="str">
        <f>HYPERLINK("http://slimages.macys.com/is/image/MCY/15953887 ")</f>
        <v xml:space="preserve">http://slimages.macys.com/is/image/MCY/15953887 </v>
      </c>
    </row>
    <row r="189" spans="1:12" ht="24.75" x14ac:dyDescent="0.25">
      <c r="A189" s="6" t="s">
        <v>3026</v>
      </c>
      <c r="B189" s="3" t="s">
        <v>3027</v>
      </c>
      <c r="C189" s="4">
        <v>1</v>
      </c>
      <c r="D189" s="5">
        <v>45</v>
      </c>
      <c r="E189" s="4" t="s">
        <v>3028</v>
      </c>
      <c r="F189" s="3" t="s">
        <v>5798</v>
      </c>
      <c r="G189" s="7" t="s">
        <v>5799</v>
      </c>
      <c r="H189" s="3" t="s">
        <v>6019</v>
      </c>
      <c r="I189" s="3" t="s">
        <v>6020</v>
      </c>
      <c r="J189" s="3" t="s">
        <v>5536</v>
      </c>
      <c r="K189" s="3" t="s">
        <v>6021</v>
      </c>
      <c r="L189" s="8" t="str">
        <f>HYPERLINK("http://slimages.macys.com/is/image/MCY/13727891 ")</f>
        <v xml:space="preserve">http://slimages.macys.com/is/image/MCY/13727891 </v>
      </c>
    </row>
    <row r="190" spans="1:12" ht="24.75" x14ac:dyDescent="0.25">
      <c r="A190" s="6" t="s">
        <v>3029</v>
      </c>
      <c r="B190" s="3" t="s">
        <v>3030</v>
      </c>
      <c r="C190" s="4">
        <v>1</v>
      </c>
      <c r="D190" s="5">
        <v>34.5</v>
      </c>
      <c r="E190" s="4" t="s">
        <v>3031</v>
      </c>
      <c r="F190" s="3" t="s">
        <v>5783</v>
      </c>
      <c r="G190" s="7" t="s">
        <v>5596</v>
      </c>
      <c r="H190" s="3" t="s">
        <v>5794</v>
      </c>
      <c r="I190" s="3" t="s">
        <v>5795</v>
      </c>
      <c r="J190" s="3" t="s">
        <v>5536</v>
      </c>
      <c r="K190" s="3" t="s">
        <v>5553</v>
      </c>
      <c r="L190" s="8" t="str">
        <f>HYPERLINK("http://slimages.macys.com/is/image/MCY/1101534 ")</f>
        <v xml:space="preserve">http://slimages.macys.com/is/image/MCY/1101534 </v>
      </c>
    </row>
    <row r="191" spans="1:12" x14ac:dyDescent="0.25">
      <c r="A191" s="6" t="s">
        <v>3032</v>
      </c>
      <c r="B191" s="3" t="s">
        <v>3033</v>
      </c>
      <c r="C191" s="4">
        <v>1</v>
      </c>
      <c r="D191" s="5">
        <v>37.99</v>
      </c>
      <c r="E191" s="4" t="s">
        <v>3034</v>
      </c>
      <c r="F191" s="3" t="s">
        <v>5661</v>
      </c>
      <c r="G191" s="7" t="s">
        <v>5533</v>
      </c>
      <c r="H191" s="3" t="s">
        <v>6065</v>
      </c>
      <c r="I191" s="3" t="s">
        <v>6066</v>
      </c>
      <c r="J191" s="3" t="s">
        <v>5536</v>
      </c>
      <c r="K191" s="3" t="s">
        <v>5549</v>
      </c>
      <c r="L191" s="8" t="str">
        <f>HYPERLINK("http://slimages.macys.com/is/image/MCY/14424346 ")</f>
        <v xml:space="preserve">http://slimages.macys.com/is/image/MCY/14424346 </v>
      </c>
    </row>
    <row r="192" spans="1:12" x14ac:dyDescent="0.25">
      <c r="A192" s="6" t="s">
        <v>3035</v>
      </c>
      <c r="B192" s="3" t="s">
        <v>3033</v>
      </c>
      <c r="C192" s="4">
        <v>1</v>
      </c>
      <c r="D192" s="5">
        <v>37.99</v>
      </c>
      <c r="E192" s="4" t="s">
        <v>3034</v>
      </c>
      <c r="F192" s="3" t="s">
        <v>5552</v>
      </c>
      <c r="G192" s="7" t="s">
        <v>5596</v>
      </c>
      <c r="H192" s="3" t="s">
        <v>6065</v>
      </c>
      <c r="I192" s="3" t="s">
        <v>6066</v>
      </c>
      <c r="J192" s="3" t="s">
        <v>5536</v>
      </c>
      <c r="K192" s="3" t="s">
        <v>5549</v>
      </c>
      <c r="L192" s="8" t="str">
        <f>HYPERLINK("http://slimages.macys.com/is/image/MCY/14424346 ")</f>
        <v xml:space="preserve">http://slimages.macys.com/is/image/MCY/14424346 </v>
      </c>
    </row>
    <row r="193" spans="1:12" x14ac:dyDescent="0.25">
      <c r="A193" s="6" t="s">
        <v>3036</v>
      </c>
      <c r="B193" s="3" t="s">
        <v>3033</v>
      </c>
      <c r="C193" s="4">
        <v>2</v>
      </c>
      <c r="D193" s="5">
        <v>75.98</v>
      </c>
      <c r="E193" s="4" t="s">
        <v>3034</v>
      </c>
      <c r="F193" s="3" t="s">
        <v>5661</v>
      </c>
      <c r="G193" s="7" t="s">
        <v>5596</v>
      </c>
      <c r="H193" s="3" t="s">
        <v>6065</v>
      </c>
      <c r="I193" s="3" t="s">
        <v>6066</v>
      </c>
      <c r="J193" s="3" t="s">
        <v>5536</v>
      </c>
      <c r="K193" s="3" t="s">
        <v>5549</v>
      </c>
      <c r="L193" s="8" t="str">
        <f>HYPERLINK("http://slimages.macys.com/is/image/MCY/14424346 ")</f>
        <v xml:space="preserve">http://slimages.macys.com/is/image/MCY/14424346 </v>
      </c>
    </row>
    <row r="194" spans="1:12" x14ac:dyDescent="0.25">
      <c r="A194" s="6" t="s">
        <v>3037</v>
      </c>
      <c r="B194" s="3" t="s">
        <v>3033</v>
      </c>
      <c r="C194" s="4">
        <v>1</v>
      </c>
      <c r="D194" s="5">
        <v>37.99</v>
      </c>
      <c r="E194" s="4" t="s">
        <v>3034</v>
      </c>
      <c r="F194" s="3" t="s">
        <v>5661</v>
      </c>
      <c r="G194" s="7" t="s">
        <v>5560</v>
      </c>
      <c r="H194" s="3" t="s">
        <v>6065</v>
      </c>
      <c r="I194" s="3" t="s">
        <v>6066</v>
      </c>
      <c r="J194" s="3" t="s">
        <v>5536</v>
      </c>
      <c r="K194" s="3" t="s">
        <v>5549</v>
      </c>
      <c r="L194" s="8" t="str">
        <f>HYPERLINK("http://slimages.macys.com/is/image/MCY/14424346 ")</f>
        <v xml:space="preserve">http://slimages.macys.com/is/image/MCY/14424346 </v>
      </c>
    </row>
    <row r="195" spans="1:12" x14ac:dyDescent="0.25">
      <c r="A195" s="6" t="s">
        <v>3038</v>
      </c>
      <c r="B195" s="3" t="s">
        <v>6055</v>
      </c>
      <c r="C195" s="4">
        <v>1</v>
      </c>
      <c r="D195" s="5">
        <v>60</v>
      </c>
      <c r="E195" s="4">
        <v>100081879</v>
      </c>
      <c r="F195" s="3" t="s">
        <v>5783</v>
      </c>
      <c r="G195" s="7" t="s">
        <v>5596</v>
      </c>
      <c r="H195" s="3" t="s">
        <v>5585</v>
      </c>
      <c r="I195" s="3" t="s">
        <v>5734</v>
      </c>
      <c r="J195" s="3" t="s">
        <v>5536</v>
      </c>
      <c r="K195" s="3" t="s">
        <v>5574</v>
      </c>
      <c r="L195" s="8" t="str">
        <f>HYPERLINK("http://slimages.macys.com/is/image/MCY/15861732 ")</f>
        <v xml:space="preserve">http://slimages.macys.com/is/image/MCY/15861732 </v>
      </c>
    </row>
    <row r="196" spans="1:12" ht="24.75" x14ac:dyDescent="0.25">
      <c r="A196" s="6" t="s">
        <v>3039</v>
      </c>
      <c r="B196" s="3" t="s">
        <v>3040</v>
      </c>
      <c r="C196" s="4">
        <v>1</v>
      </c>
      <c r="D196" s="5">
        <v>45</v>
      </c>
      <c r="E196" s="4">
        <v>50041070</v>
      </c>
      <c r="F196" s="3" t="s">
        <v>5540</v>
      </c>
      <c r="G196" s="7" t="s">
        <v>5562</v>
      </c>
      <c r="H196" s="3" t="s">
        <v>6492</v>
      </c>
      <c r="I196" s="3" t="s">
        <v>6790</v>
      </c>
      <c r="J196" s="3" t="s">
        <v>5536</v>
      </c>
      <c r="K196" s="3" t="s">
        <v>5549</v>
      </c>
      <c r="L196" s="8" t="str">
        <f>HYPERLINK("http://slimages.macys.com/is/image/MCY/15605042 ")</f>
        <v xml:space="preserve">http://slimages.macys.com/is/image/MCY/15605042 </v>
      </c>
    </row>
    <row r="197" spans="1:12" ht="24.75" x14ac:dyDescent="0.25">
      <c r="A197" s="6" t="s">
        <v>3041</v>
      </c>
      <c r="B197" s="3" t="s">
        <v>3042</v>
      </c>
      <c r="C197" s="4">
        <v>1</v>
      </c>
      <c r="D197" s="5">
        <v>69.5</v>
      </c>
      <c r="E197" s="4">
        <v>100050599</v>
      </c>
      <c r="F197" s="3" t="s">
        <v>5964</v>
      </c>
      <c r="G197" s="7" t="s">
        <v>5311</v>
      </c>
      <c r="H197" s="3" t="s">
        <v>5955</v>
      </c>
      <c r="I197" s="3" t="s">
        <v>5734</v>
      </c>
      <c r="J197" s="3" t="s">
        <v>5536</v>
      </c>
      <c r="K197" s="3" t="s">
        <v>6021</v>
      </c>
      <c r="L197" s="8" t="str">
        <f>HYPERLINK("http://slimages.macys.com/is/image/MCY/13122036 ")</f>
        <v xml:space="preserve">http://slimages.macys.com/is/image/MCY/13122036 </v>
      </c>
    </row>
    <row r="198" spans="1:12" x14ac:dyDescent="0.25">
      <c r="A198" s="6" t="s">
        <v>3043</v>
      </c>
      <c r="B198" s="3" t="s">
        <v>3044</v>
      </c>
      <c r="C198" s="4">
        <v>1</v>
      </c>
      <c r="D198" s="5">
        <v>59.5</v>
      </c>
      <c r="E198" s="4">
        <v>100065387</v>
      </c>
      <c r="F198" s="3" t="s">
        <v>5540</v>
      </c>
      <c r="G198" s="7" t="s">
        <v>5596</v>
      </c>
      <c r="H198" s="3" t="s">
        <v>5585</v>
      </c>
      <c r="I198" s="3" t="s">
        <v>5734</v>
      </c>
      <c r="J198" s="3" t="s">
        <v>5536</v>
      </c>
      <c r="K198" s="3" t="s">
        <v>4035</v>
      </c>
      <c r="L198" s="8" t="str">
        <f>HYPERLINK("http://slimages.macys.com/is/image/MCY/14807254 ")</f>
        <v xml:space="preserve">http://slimages.macys.com/is/image/MCY/14807254 </v>
      </c>
    </row>
    <row r="199" spans="1:12" x14ac:dyDescent="0.25">
      <c r="A199" s="6" t="s">
        <v>3045</v>
      </c>
      <c r="B199" s="3" t="s">
        <v>3046</v>
      </c>
      <c r="C199" s="4">
        <v>1</v>
      </c>
      <c r="D199" s="5">
        <v>59.5</v>
      </c>
      <c r="E199" s="4">
        <v>100065391</v>
      </c>
      <c r="F199" s="3" t="s">
        <v>5783</v>
      </c>
      <c r="G199" s="7" t="s">
        <v>5560</v>
      </c>
      <c r="H199" s="3" t="s">
        <v>5585</v>
      </c>
      <c r="I199" s="3" t="s">
        <v>5734</v>
      </c>
      <c r="J199" s="3"/>
      <c r="K199" s="3"/>
      <c r="L199" s="8" t="str">
        <f>HYPERLINK("http://slimages.macys.com/is/image/MCY/14574177 ")</f>
        <v xml:space="preserve">http://slimages.macys.com/is/image/MCY/14574177 </v>
      </c>
    </row>
    <row r="200" spans="1:12" x14ac:dyDescent="0.25">
      <c r="A200" s="6" t="s">
        <v>3047</v>
      </c>
      <c r="B200" s="3" t="s">
        <v>3048</v>
      </c>
      <c r="C200" s="4">
        <v>1</v>
      </c>
      <c r="D200" s="5">
        <v>35.99</v>
      </c>
      <c r="E200" s="4" t="s">
        <v>3049</v>
      </c>
      <c r="F200" s="3" t="s">
        <v>6271</v>
      </c>
      <c r="G200" s="7" t="s">
        <v>5898</v>
      </c>
      <c r="H200" s="3" t="s">
        <v>5899</v>
      </c>
      <c r="I200" s="3" t="s">
        <v>5900</v>
      </c>
      <c r="J200" s="3" t="s">
        <v>5536</v>
      </c>
      <c r="K200" s="3" t="s">
        <v>5727</v>
      </c>
      <c r="L200" s="8" t="str">
        <f>HYPERLINK("http://slimages.macys.com/is/image/MCY/9665085 ")</f>
        <v xml:space="preserve">http://slimages.macys.com/is/image/MCY/9665085 </v>
      </c>
    </row>
    <row r="201" spans="1:12" ht="24.75" x14ac:dyDescent="0.25">
      <c r="A201" s="6" t="s">
        <v>3050</v>
      </c>
      <c r="B201" s="3" t="s">
        <v>2227</v>
      </c>
      <c r="C201" s="4">
        <v>1</v>
      </c>
      <c r="D201" s="5">
        <v>33.99</v>
      </c>
      <c r="E201" s="4" t="s">
        <v>3051</v>
      </c>
      <c r="F201" s="3" t="s">
        <v>5945</v>
      </c>
      <c r="G201" s="7" t="s">
        <v>5573</v>
      </c>
      <c r="H201" s="3" t="s">
        <v>5892</v>
      </c>
      <c r="I201" s="3" t="s">
        <v>5893</v>
      </c>
      <c r="J201" s="3" t="s">
        <v>5536</v>
      </c>
      <c r="K201" s="3" t="s">
        <v>5594</v>
      </c>
      <c r="L201" s="8" t="str">
        <f>HYPERLINK("http://slimages.macys.com/is/image/MCY/15249807 ")</f>
        <v xml:space="preserve">http://slimages.macys.com/is/image/MCY/15249807 </v>
      </c>
    </row>
    <row r="202" spans="1:12" ht="24.75" x14ac:dyDescent="0.25">
      <c r="A202" s="6" t="s">
        <v>3052</v>
      </c>
      <c r="B202" s="3" t="s">
        <v>2227</v>
      </c>
      <c r="C202" s="4">
        <v>1</v>
      </c>
      <c r="D202" s="5">
        <v>33.99</v>
      </c>
      <c r="E202" s="4" t="s">
        <v>3051</v>
      </c>
      <c r="F202" s="3" t="s">
        <v>5945</v>
      </c>
      <c r="G202" s="7" t="s">
        <v>5582</v>
      </c>
      <c r="H202" s="3" t="s">
        <v>5892</v>
      </c>
      <c r="I202" s="3" t="s">
        <v>5893</v>
      </c>
      <c r="J202" s="3" t="s">
        <v>5536</v>
      </c>
      <c r="K202" s="3" t="s">
        <v>5594</v>
      </c>
      <c r="L202" s="8" t="str">
        <f>HYPERLINK("http://slimages.macys.com/is/image/MCY/15249807 ")</f>
        <v xml:space="preserve">http://slimages.macys.com/is/image/MCY/15249807 </v>
      </c>
    </row>
    <row r="203" spans="1:12" x14ac:dyDescent="0.25">
      <c r="A203" s="6" t="s">
        <v>3053</v>
      </c>
      <c r="B203" s="3" t="s">
        <v>3054</v>
      </c>
      <c r="C203" s="4">
        <v>1</v>
      </c>
      <c r="D203" s="5">
        <v>44.99</v>
      </c>
      <c r="E203" s="4" t="s">
        <v>3055</v>
      </c>
      <c r="F203" s="3" t="s">
        <v>5578</v>
      </c>
      <c r="G203" s="7" t="s">
        <v>5598</v>
      </c>
      <c r="H203" s="3" t="s">
        <v>6003</v>
      </c>
      <c r="I203" s="3" t="s">
        <v>6004</v>
      </c>
      <c r="J203" s="3" t="s">
        <v>5536</v>
      </c>
      <c r="K203" s="3" t="s">
        <v>5727</v>
      </c>
      <c r="L203" s="8" t="str">
        <f>HYPERLINK("http://slimages.macys.com/is/image/MCY/15508370 ")</f>
        <v xml:space="preserve">http://slimages.macys.com/is/image/MCY/15508370 </v>
      </c>
    </row>
    <row r="204" spans="1:12" x14ac:dyDescent="0.25">
      <c r="A204" s="6" t="s">
        <v>3056</v>
      </c>
      <c r="B204" s="3" t="s">
        <v>3057</v>
      </c>
      <c r="C204" s="4">
        <v>1</v>
      </c>
      <c r="D204" s="5">
        <v>39.99</v>
      </c>
      <c r="E204" s="4" t="s">
        <v>3058</v>
      </c>
      <c r="F204" s="3" t="s">
        <v>5578</v>
      </c>
      <c r="G204" s="7" t="s">
        <v>5598</v>
      </c>
      <c r="H204" s="3" t="s">
        <v>6003</v>
      </c>
      <c r="I204" s="3" t="s">
        <v>6004</v>
      </c>
      <c r="J204" s="3" t="s">
        <v>5536</v>
      </c>
      <c r="K204" s="3" t="s">
        <v>5594</v>
      </c>
      <c r="L204" s="8" t="str">
        <f>HYPERLINK("http://slimages.macys.com/is/image/MCY/14827106 ")</f>
        <v xml:space="preserve">http://slimages.macys.com/is/image/MCY/14827106 </v>
      </c>
    </row>
    <row r="205" spans="1:12" ht="24.75" x14ac:dyDescent="0.25">
      <c r="A205" s="6" t="s">
        <v>3059</v>
      </c>
      <c r="B205" s="3" t="s">
        <v>3060</v>
      </c>
      <c r="C205" s="4">
        <v>1</v>
      </c>
      <c r="D205" s="5">
        <v>29.5</v>
      </c>
      <c r="E205" s="4">
        <v>100075485</v>
      </c>
      <c r="F205" s="3" t="s">
        <v>5811</v>
      </c>
      <c r="G205" s="7" t="s">
        <v>5598</v>
      </c>
      <c r="H205" s="3" t="s">
        <v>5585</v>
      </c>
      <c r="I205" s="3" t="s">
        <v>5734</v>
      </c>
      <c r="J205" s="3" t="s">
        <v>5536</v>
      </c>
      <c r="K205" s="3" t="s">
        <v>5587</v>
      </c>
      <c r="L205" s="8" t="str">
        <f>HYPERLINK("http://slimages.macys.com/is/image/MCY/15010761 ")</f>
        <v xml:space="preserve">http://slimages.macys.com/is/image/MCY/15010761 </v>
      </c>
    </row>
    <row r="206" spans="1:12" ht="36.75" x14ac:dyDescent="0.25">
      <c r="A206" s="6" t="s">
        <v>3061</v>
      </c>
      <c r="B206" s="3" t="s">
        <v>3062</v>
      </c>
      <c r="C206" s="4">
        <v>1</v>
      </c>
      <c r="D206" s="5">
        <v>41.5</v>
      </c>
      <c r="E206" s="4" t="s">
        <v>3063</v>
      </c>
      <c r="F206" s="3" t="s">
        <v>5964</v>
      </c>
      <c r="G206" s="7" t="s">
        <v>5533</v>
      </c>
      <c r="H206" s="3" t="s">
        <v>6627</v>
      </c>
      <c r="I206" s="3" t="s">
        <v>4012</v>
      </c>
      <c r="J206" s="3" t="s">
        <v>5536</v>
      </c>
      <c r="K206" s="3" t="s">
        <v>3064</v>
      </c>
      <c r="L206" s="8" t="str">
        <f>HYPERLINK("http://slimages.macys.com/is/image/MCY/11687836 ")</f>
        <v xml:space="preserve">http://slimages.macys.com/is/image/MCY/11687836 </v>
      </c>
    </row>
    <row r="207" spans="1:12" x14ac:dyDescent="0.25">
      <c r="A207" s="6" t="s">
        <v>3065</v>
      </c>
      <c r="B207" s="3" t="s">
        <v>3066</v>
      </c>
      <c r="C207" s="4">
        <v>1</v>
      </c>
      <c r="D207" s="5">
        <v>29</v>
      </c>
      <c r="E207" s="4" t="s">
        <v>3067</v>
      </c>
      <c r="F207" s="3" t="s">
        <v>5783</v>
      </c>
      <c r="G207" s="7" t="s">
        <v>5582</v>
      </c>
      <c r="H207" s="3" t="s">
        <v>5547</v>
      </c>
      <c r="I207" s="3" t="s">
        <v>5548</v>
      </c>
      <c r="J207" s="3" t="s">
        <v>5536</v>
      </c>
      <c r="K207" s="3" t="s">
        <v>5594</v>
      </c>
      <c r="L207" s="8" t="str">
        <f>HYPERLINK("http://slimages.macys.com/is/image/MCY/16015185 ")</f>
        <v xml:space="preserve">http://slimages.macys.com/is/image/MCY/16015185 </v>
      </c>
    </row>
    <row r="208" spans="1:12" x14ac:dyDescent="0.25">
      <c r="A208" s="6" t="s">
        <v>3068</v>
      </c>
      <c r="B208" s="3" t="s">
        <v>3069</v>
      </c>
      <c r="C208" s="4">
        <v>1</v>
      </c>
      <c r="D208" s="5">
        <v>59.5</v>
      </c>
      <c r="E208" s="4">
        <v>100060876</v>
      </c>
      <c r="F208" s="3" t="s">
        <v>5556</v>
      </c>
      <c r="G208" s="7" t="s">
        <v>5560</v>
      </c>
      <c r="H208" s="3" t="s">
        <v>5585</v>
      </c>
      <c r="I208" s="3" t="s">
        <v>5586</v>
      </c>
      <c r="J208" s="3" t="s">
        <v>5536</v>
      </c>
      <c r="K208" s="3" t="s">
        <v>6021</v>
      </c>
      <c r="L208" s="8" t="str">
        <f>HYPERLINK("http://slimages.macys.com/is/image/MCY/12897822 ")</f>
        <v xml:space="preserve">http://slimages.macys.com/is/image/MCY/12897822 </v>
      </c>
    </row>
    <row r="209" spans="1:12" ht="24.75" x14ac:dyDescent="0.25">
      <c r="A209" s="6" t="s">
        <v>3070</v>
      </c>
      <c r="B209" s="3" t="s">
        <v>3071</v>
      </c>
      <c r="C209" s="4">
        <v>1</v>
      </c>
      <c r="D209" s="5">
        <v>69.5</v>
      </c>
      <c r="E209" s="4">
        <v>100078707</v>
      </c>
      <c r="F209" s="3" t="s">
        <v>5793</v>
      </c>
      <c r="G209" s="7" t="s">
        <v>5694</v>
      </c>
      <c r="H209" s="3" t="s">
        <v>5955</v>
      </c>
      <c r="I209" s="3" t="s">
        <v>5956</v>
      </c>
      <c r="J209" s="3" t="s">
        <v>5536</v>
      </c>
      <c r="K209" s="3" t="s">
        <v>5553</v>
      </c>
      <c r="L209" s="8" t="str">
        <f>HYPERLINK("http://slimages.macys.com/is/image/MCY/14401420 ")</f>
        <v xml:space="preserve">http://slimages.macys.com/is/image/MCY/14401420 </v>
      </c>
    </row>
    <row r="210" spans="1:12" ht="24.75" x14ac:dyDescent="0.25">
      <c r="A210" s="6" t="s">
        <v>3072</v>
      </c>
      <c r="B210" s="3" t="s">
        <v>3073</v>
      </c>
      <c r="C210" s="4">
        <v>1</v>
      </c>
      <c r="D210" s="5">
        <v>69.5</v>
      </c>
      <c r="E210" s="4">
        <v>100078702</v>
      </c>
      <c r="F210" s="3" t="s">
        <v>5604</v>
      </c>
      <c r="G210" s="7" t="s">
        <v>5557</v>
      </c>
      <c r="H210" s="3" t="s">
        <v>5955</v>
      </c>
      <c r="I210" s="3" t="s">
        <v>5956</v>
      </c>
      <c r="J210" s="3" t="s">
        <v>5536</v>
      </c>
      <c r="K210" s="3" t="s">
        <v>5549</v>
      </c>
      <c r="L210" s="8" t="str">
        <f>HYPERLINK("http://slimages.macys.com/is/image/MCY/13894112 ")</f>
        <v xml:space="preserve">http://slimages.macys.com/is/image/MCY/13894112 </v>
      </c>
    </row>
    <row r="211" spans="1:12" ht="24.75" x14ac:dyDescent="0.25">
      <c r="A211" s="6" t="s">
        <v>3074</v>
      </c>
      <c r="B211" s="3" t="s">
        <v>4817</v>
      </c>
      <c r="C211" s="4">
        <v>1</v>
      </c>
      <c r="D211" s="5">
        <v>30</v>
      </c>
      <c r="E211" s="4" t="s">
        <v>4818</v>
      </c>
      <c r="F211" s="3" t="s">
        <v>6146</v>
      </c>
      <c r="G211" s="7" t="s">
        <v>5562</v>
      </c>
      <c r="H211" s="3" t="s">
        <v>4819</v>
      </c>
      <c r="I211" s="3" t="s">
        <v>4820</v>
      </c>
      <c r="J211" s="3" t="s">
        <v>5536</v>
      </c>
      <c r="K211" s="3" t="s">
        <v>5549</v>
      </c>
      <c r="L211" s="8" t="str">
        <f>HYPERLINK("http://slimages.macys.com/is/image/MCY/15146052 ")</f>
        <v xml:space="preserve">http://slimages.macys.com/is/image/MCY/15146052 </v>
      </c>
    </row>
    <row r="212" spans="1:12" ht="48.75" x14ac:dyDescent="0.25">
      <c r="A212" s="6" t="s">
        <v>3075</v>
      </c>
      <c r="B212" s="3" t="s">
        <v>3076</v>
      </c>
      <c r="C212" s="4">
        <v>1</v>
      </c>
      <c r="D212" s="5">
        <v>36</v>
      </c>
      <c r="E212" s="4" t="s">
        <v>3077</v>
      </c>
      <c r="F212" s="3" t="s">
        <v>6146</v>
      </c>
      <c r="G212" s="7" t="s">
        <v>5562</v>
      </c>
      <c r="H212" s="3" t="s">
        <v>6131</v>
      </c>
      <c r="I212" s="3" t="s">
        <v>3078</v>
      </c>
      <c r="J212" s="3" t="s">
        <v>5536</v>
      </c>
      <c r="K212" s="3" t="s">
        <v>3079</v>
      </c>
      <c r="L212" s="8" t="str">
        <f>HYPERLINK("http://slimages.macys.com/is/image/MCY/12803248 ")</f>
        <v xml:space="preserve">http://slimages.macys.com/is/image/MCY/12803248 </v>
      </c>
    </row>
    <row r="213" spans="1:12" ht="48.75" x14ac:dyDescent="0.25">
      <c r="A213" s="6" t="s">
        <v>3080</v>
      </c>
      <c r="B213" s="3" t="s">
        <v>3081</v>
      </c>
      <c r="C213" s="4">
        <v>1</v>
      </c>
      <c r="D213" s="5">
        <v>36</v>
      </c>
      <c r="E213" s="4" t="s">
        <v>3082</v>
      </c>
      <c r="F213" s="3" t="s">
        <v>5640</v>
      </c>
      <c r="G213" s="7" t="s">
        <v>5560</v>
      </c>
      <c r="H213" s="3" t="s">
        <v>6131</v>
      </c>
      <c r="I213" s="3" t="s">
        <v>3078</v>
      </c>
      <c r="J213" s="3" t="s">
        <v>5536</v>
      </c>
      <c r="K213" s="3" t="s">
        <v>3083</v>
      </c>
      <c r="L213" s="8" t="str">
        <f>HYPERLINK("http://slimages.macys.com/is/image/MCY/11679996 ")</f>
        <v xml:space="preserve">http://slimages.macys.com/is/image/MCY/11679996 </v>
      </c>
    </row>
    <row r="214" spans="1:12" x14ac:dyDescent="0.25">
      <c r="A214" s="6" t="s">
        <v>3084</v>
      </c>
      <c r="B214" s="3" t="s">
        <v>3085</v>
      </c>
      <c r="C214" s="4">
        <v>1</v>
      </c>
      <c r="D214" s="5">
        <v>65</v>
      </c>
      <c r="E214" s="4">
        <v>100075703</v>
      </c>
      <c r="F214" s="3" t="s">
        <v>5540</v>
      </c>
      <c r="G214" s="7" t="s">
        <v>5533</v>
      </c>
      <c r="H214" s="3" t="s">
        <v>5585</v>
      </c>
      <c r="I214" s="3" t="s">
        <v>5734</v>
      </c>
      <c r="J214" s="3" t="s">
        <v>5536</v>
      </c>
      <c r="K214" s="3" t="s">
        <v>3086</v>
      </c>
      <c r="L214" s="8" t="str">
        <f>HYPERLINK("http://slimages.macys.com/is/image/MCY/15212689 ")</f>
        <v xml:space="preserve">http://slimages.macys.com/is/image/MCY/15212689 </v>
      </c>
    </row>
    <row r="215" spans="1:12" x14ac:dyDescent="0.25">
      <c r="A215" s="6" t="s">
        <v>3087</v>
      </c>
      <c r="B215" s="3" t="s">
        <v>3088</v>
      </c>
      <c r="C215" s="4">
        <v>1</v>
      </c>
      <c r="D215" s="5">
        <v>59.5</v>
      </c>
      <c r="E215" s="4">
        <v>100068754</v>
      </c>
      <c r="F215" s="3" t="s">
        <v>5610</v>
      </c>
      <c r="G215" s="7" t="s">
        <v>5562</v>
      </c>
      <c r="H215" s="3" t="s">
        <v>5585</v>
      </c>
      <c r="I215" s="3" t="s">
        <v>5734</v>
      </c>
      <c r="J215" s="3" t="s">
        <v>5536</v>
      </c>
      <c r="K215" s="3" t="s">
        <v>6494</v>
      </c>
      <c r="L215" s="8" t="str">
        <f>HYPERLINK("http://slimages.macys.com/is/image/MCY/14573205 ")</f>
        <v xml:space="preserve">http://slimages.macys.com/is/image/MCY/14573205 </v>
      </c>
    </row>
    <row r="216" spans="1:12" ht="24.75" x14ac:dyDescent="0.25">
      <c r="A216" s="6" t="s">
        <v>3089</v>
      </c>
      <c r="B216" s="3" t="s">
        <v>4822</v>
      </c>
      <c r="C216" s="4">
        <v>1</v>
      </c>
      <c r="D216" s="5">
        <v>59.5</v>
      </c>
      <c r="E216" s="4">
        <v>100065383</v>
      </c>
      <c r="F216" s="3" t="s">
        <v>6275</v>
      </c>
      <c r="G216" s="7" t="s">
        <v>5598</v>
      </c>
      <c r="H216" s="3" t="s">
        <v>5585</v>
      </c>
      <c r="I216" s="3" t="s">
        <v>5734</v>
      </c>
      <c r="J216" s="3" t="s">
        <v>5536</v>
      </c>
      <c r="K216" s="3" t="s">
        <v>5594</v>
      </c>
      <c r="L216" s="8" t="str">
        <f>HYPERLINK("http://slimages.macys.com/is/image/MCY/14807202 ")</f>
        <v xml:space="preserve">http://slimages.macys.com/is/image/MCY/14807202 </v>
      </c>
    </row>
    <row r="217" spans="1:12" ht="24.75" x14ac:dyDescent="0.25">
      <c r="A217" s="6" t="s">
        <v>3090</v>
      </c>
      <c r="B217" s="3" t="s">
        <v>3091</v>
      </c>
      <c r="C217" s="4">
        <v>1</v>
      </c>
      <c r="D217" s="5">
        <v>38</v>
      </c>
      <c r="E217" s="4">
        <v>92153</v>
      </c>
      <c r="F217" s="3" t="s">
        <v>5640</v>
      </c>
      <c r="G217" s="7" t="s">
        <v>6772</v>
      </c>
      <c r="H217" s="3" t="s">
        <v>5842</v>
      </c>
      <c r="I217" s="3" t="s">
        <v>5843</v>
      </c>
      <c r="J217" s="3" t="s">
        <v>5536</v>
      </c>
      <c r="K217" s="3" t="s">
        <v>3092</v>
      </c>
      <c r="L217" s="8" t="str">
        <f>HYPERLINK("http://slimages.macys.com/is/image/MCY/12055267 ")</f>
        <v xml:space="preserve">http://slimages.macys.com/is/image/MCY/12055267 </v>
      </c>
    </row>
    <row r="218" spans="1:12" ht="24.75" x14ac:dyDescent="0.25">
      <c r="A218" s="6" t="s">
        <v>3093</v>
      </c>
      <c r="B218" s="3" t="s">
        <v>3094</v>
      </c>
      <c r="C218" s="4">
        <v>1</v>
      </c>
      <c r="D218" s="5">
        <v>45</v>
      </c>
      <c r="E218" s="4" t="s">
        <v>3095</v>
      </c>
      <c r="F218" s="3" t="s">
        <v>5540</v>
      </c>
      <c r="G218" s="7" t="s">
        <v>5598</v>
      </c>
      <c r="H218" s="3" t="s">
        <v>6492</v>
      </c>
      <c r="I218" s="3" t="s">
        <v>6604</v>
      </c>
      <c r="J218" s="3" t="s">
        <v>5536</v>
      </c>
      <c r="K218" s="3" t="s">
        <v>5574</v>
      </c>
      <c r="L218" s="8" t="str">
        <f>HYPERLINK("http://slimages.macys.com/is/image/MCY/15784202 ")</f>
        <v xml:space="preserve">http://slimages.macys.com/is/image/MCY/15784202 </v>
      </c>
    </row>
    <row r="219" spans="1:12" ht="24.75" x14ac:dyDescent="0.25">
      <c r="A219" s="6" t="s">
        <v>3096</v>
      </c>
      <c r="B219" s="3" t="s">
        <v>3097</v>
      </c>
      <c r="C219" s="4">
        <v>1</v>
      </c>
      <c r="D219" s="5">
        <v>45</v>
      </c>
      <c r="E219" s="4" t="s">
        <v>3098</v>
      </c>
      <c r="F219" s="3" t="s">
        <v>5532</v>
      </c>
      <c r="G219" s="7" t="s">
        <v>5596</v>
      </c>
      <c r="H219" s="3" t="s">
        <v>6492</v>
      </c>
      <c r="I219" s="3" t="s">
        <v>6604</v>
      </c>
      <c r="J219" s="3" t="s">
        <v>5536</v>
      </c>
      <c r="K219" s="3" t="s">
        <v>5574</v>
      </c>
      <c r="L219" s="8" t="str">
        <f>HYPERLINK("http://slimages.macys.com/is/image/MCY/15783988 ")</f>
        <v xml:space="preserve">http://slimages.macys.com/is/image/MCY/15783988 </v>
      </c>
    </row>
    <row r="220" spans="1:12" ht="24.75" x14ac:dyDescent="0.25">
      <c r="A220" s="6" t="s">
        <v>3099</v>
      </c>
      <c r="B220" s="3" t="s">
        <v>3100</v>
      </c>
      <c r="C220" s="4">
        <v>1</v>
      </c>
      <c r="D220" s="5">
        <v>49.5</v>
      </c>
      <c r="E220" s="4">
        <v>100081885</v>
      </c>
      <c r="F220" s="3" t="s">
        <v>6410</v>
      </c>
      <c r="G220" s="7" t="s">
        <v>5560</v>
      </c>
      <c r="H220" s="3" t="s">
        <v>5585</v>
      </c>
      <c r="I220" s="3" t="s">
        <v>5734</v>
      </c>
      <c r="J220" s="3" t="s">
        <v>5536</v>
      </c>
      <c r="K220" s="3" t="s">
        <v>5574</v>
      </c>
      <c r="L220" s="8" t="str">
        <f>HYPERLINK("http://slimages.macys.com/is/image/MCY/15861651 ")</f>
        <v xml:space="preserve">http://slimages.macys.com/is/image/MCY/15861651 </v>
      </c>
    </row>
    <row r="221" spans="1:12" ht="24.75" x14ac:dyDescent="0.25">
      <c r="A221" s="6" t="s">
        <v>3101</v>
      </c>
      <c r="B221" s="3" t="s">
        <v>3100</v>
      </c>
      <c r="C221" s="4">
        <v>1</v>
      </c>
      <c r="D221" s="5">
        <v>49.5</v>
      </c>
      <c r="E221" s="4">
        <v>100081885</v>
      </c>
      <c r="F221" s="3" t="s">
        <v>6410</v>
      </c>
      <c r="G221" s="7" t="s">
        <v>5733</v>
      </c>
      <c r="H221" s="3" t="s">
        <v>5585</v>
      </c>
      <c r="I221" s="3" t="s">
        <v>5734</v>
      </c>
      <c r="J221" s="3" t="s">
        <v>5536</v>
      </c>
      <c r="K221" s="3" t="s">
        <v>5574</v>
      </c>
      <c r="L221" s="8" t="str">
        <f>HYPERLINK("http://slimages.macys.com/is/image/MCY/15861651 ")</f>
        <v xml:space="preserve">http://slimages.macys.com/is/image/MCY/15861651 </v>
      </c>
    </row>
    <row r="222" spans="1:12" ht="24.75" x14ac:dyDescent="0.25">
      <c r="A222" s="6" t="s">
        <v>3102</v>
      </c>
      <c r="B222" s="3" t="s">
        <v>3100</v>
      </c>
      <c r="C222" s="4">
        <v>2</v>
      </c>
      <c r="D222" s="5">
        <v>99</v>
      </c>
      <c r="E222" s="4">
        <v>100081885</v>
      </c>
      <c r="F222" s="3" t="s">
        <v>6410</v>
      </c>
      <c r="G222" s="7" t="s">
        <v>5562</v>
      </c>
      <c r="H222" s="3" t="s">
        <v>5585</v>
      </c>
      <c r="I222" s="3" t="s">
        <v>5734</v>
      </c>
      <c r="J222" s="3" t="s">
        <v>5536</v>
      </c>
      <c r="K222" s="3" t="s">
        <v>5574</v>
      </c>
      <c r="L222" s="8" t="str">
        <f>HYPERLINK("http://slimages.macys.com/is/image/MCY/15861651 ")</f>
        <v xml:space="preserve">http://slimages.macys.com/is/image/MCY/15861651 </v>
      </c>
    </row>
    <row r="223" spans="1:12" ht="24.75" x14ac:dyDescent="0.25">
      <c r="A223" s="6" t="s">
        <v>3103</v>
      </c>
      <c r="B223" s="3" t="s">
        <v>3100</v>
      </c>
      <c r="C223" s="4">
        <v>1</v>
      </c>
      <c r="D223" s="5">
        <v>49.5</v>
      </c>
      <c r="E223" s="4">
        <v>100081885</v>
      </c>
      <c r="F223" s="3" t="s">
        <v>6410</v>
      </c>
      <c r="G223" s="7" t="s">
        <v>5596</v>
      </c>
      <c r="H223" s="3" t="s">
        <v>5585</v>
      </c>
      <c r="I223" s="3" t="s">
        <v>5734</v>
      </c>
      <c r="J223" s="3" t="s">
        <v>5536</v>
      </c>
      <c r="K223" s="3" t="s">
        <v>5574</v>
      </c>
      <c r="L223" s="8" t="str">
        <f>HYPERLINK("http://slimages.macys.com/is/image/MCY/15861651 ")</f>
        <v xml:space="preserve">http://slimages.macys.com/is/image/MCY/15861651 </v>
      </c>
    </row>
    <row r="224" spans="1:12" x14ac:dyDescent="0.25">
      <c r="A224" s="6" t="s">
        <v>3104</v>
      </c>
      <c r="B224" s="3" t="s">
        <v>3105</v>
      </c>
      <c r="C224" s="4">
        <v>1</v>
      </c>
      <c r="D224" s="5">
        <v>49.5</v>
      </c>
      <c r="E224" s="4">
        <v>100063351</v>
      </c>
      <c r="F224" s="3" t="s">
        <v>6075</v>
      </c>
      <c r="G224" s="7" t="s">
        <v>5533</v>
      </c>
      <c r="H224" s="3" t="s">
        <v>5585</v>
      </c>
      <c r="I224" s="3" t="s">
        <v>5734</v>
      </c>
      <c r="J224" s="3" t="s">
        <v>5536</v>
      </c>
      <c r="K224" s="3" t="s">
        <v>5594</v>
      </c>
      <c r="L224" s="8" t="str">
        <f>HYPERLINK("http://slimages.macys.com/is/image/MCY/13847927 ")</f>
        <v xml:space="preserve">http://slimages.macys.com/is/image/MCY/13847927 </v>
      </c>
    </row>
    <row r="225" spans="1:12" ht="36.75" x14ac:dyDescent="0.25">
      <c r="A225" s="6" t="s">
        <v>3106</v>
      </c>
      <c r="B225" s="3" t="s">
        <v>3107</v>
      </c>
      <c r="C225" s="4">
        <v>1</v>
      </c>
      <c r="D225" s="5">
        <v>33.75</v>
      </c>
      <c r="E225" s="4" t="s">
        <v>3108</v>
      </c>
      <c r="F225" s="3" t="s">
        <v>5803</v>
      </c>
      <c r="G225" s="7" t="s">
        <v>6626</v>
      </c>
      <c r="H225" s="3" t="s">
        <v>6131</v>
      </c>
      <c r="I225" s="3" t="s">
        <v>3109</v>
      </c>
      <c r="J225" s="3" t="s">
        <v>5536</v>
      </c>
      <c r="K225" s="3" t="s">
        <v>3110</v>
      </c>
      <c r="L225" s="8" t="str">
        <f>HYPERLINK("http://slimages.macys.com/is/image/MCY/8963137 ")</f>
        <v xml:space="preserve">http://slimages.macys.com/is/image/MCY/8963137 </v>
      </c>
    </row>
    <row r="226" spans="1:12" x14ac:dyDescent="0.25">
      <c r="A226" s="6" t="s">
        <v>3111</v>
      </c>
      <c r="B226" s="3" t="s">
        <v>2286</v>
      </c>
      <c r="C226" s="4">
        <v>2</v>
      </c>
      <c r="D226" s="5">
        <v>89.98</v>
      </c>
      <c r="E226" s="4" t="s">
        <v>2287</v>
      </c>
      <c r="F226" s="3" t="s">
        <v>5540</v>
      </c>
      <c r="G226" s="7" t="s">
        <v>5562</v>
      </c>
      <c r="H226" s="3" t="s">
        <v>5978</v>
      </c>
      <c r="I226" s="3" t="s">
        <v>5991</v>
      </c>
      <c r="J226" s="3" t="s">
        <v>5536</v>
      </c>
      <c r="K226" s="3" t="s">
        <v>5549</v>
      </c>
      <c r="L226" s="8" t="str">
        <f>HYPERLINK("http://slimages.macys.com/is/image/MCY/15899521 ")</f>
        <v xml:space="preserve">http://slimages.macys.com/is/image/MCY/15899521 </v>
      </c>
    </row>
    <row r="227" spans="1:12" ht="24.75" x14ac:dyDescent="0.25">
      <c r="A227" s="6" t="s">
        <v>3112</v>
      </c>
      <c r="B227" s="3" t="s">
        <v>3113</v>
      </c>
      <c r="C227" s="4">
        <v>1</v>
      </c>
      <c r="D227" s="5">
        <v>19.989999999999998</v>
      </c>
      <c r="E227" s="4">
        <v>1840571</v>
      </c>
      <c r="F227" s="3" t="s">
        <v>7175</v>
      </c>
      <c r="G227" s="7" t="s">
        <v>5560</v>
      </c>
      <c r="H227" s="3" t="s">
        <v>5929</v>
      </c>
      <c r="I227" s="3" t="s">
        <v>5930</v>
      </c>
      <c r="J227" s="3"/>
      <c r="K227" s="3"/>
      <c r="L227" s="8" t="str">
        <f>HYPERLINK("http://slimages.macys.com/is/image/MCY/14705523 ")</f>
        <v xml:space="preserve">http://slimages.macys.com/is/image/MCY/14705523 </v>
      </c>
    </row>
    <row r="228" spans="1:12" x14ac:dyDescent="0.25">
      <c r="A228" s="6" t="s">
        <v>4841</v>
      </c>
      <c r="B228" s="3" t="s">
        <v>6149</v>
      </c>
      <c r="C228" s="4">
        <v>1</v>
      </c>
      <c r="D228" s="5">
        <v>44.99</v>
      </c>
      <c r="E228" s="4" t="s">
        <v>6150</v>
      </c>
      <c r="F228" s="3" t="s">
        <v>5610</v>
      </c>
      <c r="G228" s="7" t="s">
        <v>5562</v>
      </c>
      <c r="H228" s="3" t="s">
        <v>5978</v>
      </c>
      <c r="I228" s="3" t="s">
        <v>5979</v>
      </c>
      <c r="J228" s="3" t="s">
        <v>5536</v>
      </c>
      <c r="K228" s="3" t="s">
        <v>5574</v>
      </c>
      <c r="L228" s="8" t="str">
        <f>HYPERLINK("http://slimages.macys.com/is/image/MCY/15571655 ")</f>
        <v xml:space="preserve">http://slimages.macys.com/is/image/MCY/15571655 </v>
      </c>
    </row>
    <row r="229" spans="1:12" x14ac:dyDescent="0.25">
      <c r="A229" s="6" t="s">
        <v>3114</v>
      </c>
      <c r="B229" s="3" t="s">
        <v>3115</v>
      </c>
      <c r="C229" s="4">
        <v>2</v>
      </c>
      <c r="D229" s="5">
        <v>130</v>
      </c>
      <c r="E229" s="4">
        <v>100063667</v>
      </c>
      <c r="F229" s="3" t="s">
        <v>5540</v>
      </c>
      <c r="G229" s="7" t="s">
        <v>5533</v>
      </c>
      <c r="H229" s="3" t="s">
        <v>5585</v>
      </c>
      <c r="I229" s="3" t="s">
        <v>5586</v>
      </c>
      <c r="J229" s="3" t="s">
        <v>5536</v>
      </c>
      <c r="K229" s="3" t="s">
        <v>6153</v>
      </c>
      <c r="L229" s="8" t="str">
        <f>HYPERLINK("http://slimages.macys.com/is/image/MCY/14633219 ")</f>
        <v xml:space="preserve">http://slimages.macys.com/is/image/MCY/14633219 </v>
      </c>
    </row>
    <row r="230" spans="1:12" x14ac:dyDescent="0.25">
      <c r="A230" s="6" t="s">
        <v>3116</v>
      </c>
      <c r="B230" s="3" t="s">
        <v>3117</v>
      </c>
      <c r="C230" s="4">
        <v>1</v>
      </c>
      <c r="D230" s="5">
        <v>33.75</v>
      </c>
      <c r="E230" s="4" t="s">
        <v>3118</v>
      </c>
      <c r="F230" s="3" t="s">
        <v>5540</v>
      </c>
      <c r="G230" s="7" t="s">
        <v>5533</v>
      </c>
      <c r="H230" s="3" t="s">
        <v>6131</v>
      </c>
      <c r="I230" s="3" t="s">
        <v>6171</v>
      </c>
      <c r="J230" s="3" t="s">
        <v>5536</v>
      </c>
      <c r="K230" s="3" t="s">
        <v>3119</v>
      </c>
      <c r="L230" s="8" t="str">
        <f>HYPERLINK("http://slimages.macys.com/is/image/MCY/8538223 ")</f>
        <v xml:space="preserve">http://slimages.macys.com/is/image/MCY/8538223 </v>
      </c>
    </row>
    <row r="231" spans="1:12" x14ac:dyDescent="0.25">
      <c r="A231" s="6" t="s">
        <v>3120</v>
      </c>
      <c r="B231" s="3" t="s">
        <v>3121</v>
      </c>
      <c r="C231" s="4">
        <v>1</v>
      </c>
      <c r="D231" s="5">
        <v>49.5</v>
      </c>
      <c r="E231" s="4">
        <v>100031351</v>
      </c>
      <c r="F231" s="3" t="s">
        <v>5578</v>
      </c>
      <c r="G231" s="7" t="s">
        <v>5596</v>
      </c>
      <c r="H231" s="3" t="s">
        <v>5585</v>
      </c>
      <c r="I231" s="3" t="s">
        <v>5734</v>
      </c>
      <c r="J231" s="3" t="s">
        <v>5536</v>
      </c>
      <c r="K231" s="3" t="s">
        <v>5553</v>
      </c>
      <c r="L231" s="8" t="str">
        <f>HYPERLINK("http://slimages.macys.com/is/image/MCY/10460345 ")</f>
        <v xml:space="preserve">http://slimages.macys.com/is/image/MCY/10460345 </v>
      </c>
    </row>
    <row r="232" spans="1:12" x14ac:dyDescent="0.25">
      <c r="A232" s="6" t="s">
        <v>3122</v>
      </c>
      <c r="B232" s="3" t="s">
        <v>3121</v>
      </c>
      <c r="C232" s="4">
        <v>1</v>
      </c>
      <c r="D232" s="5">
        <v>49.5</v>
      </c>
      <c r="E232" s="4">
        <v>100031351</v>
      </c>
      <c r="F232" s="3" t="s">
        <v>5578</v>
      </c>
      <c r="G232" s="7" t="s">
        <v>5533</v>
      </c>
      <c r="H232" s="3" t="s">
        <v>5585</v>
      </c>
      <c r="I232" s="3" t="s">
        <v>5734</v>
      </c>
      <c r="J232" s="3" t="s">
        <v>5536</v>
      </c>
      <c r="K232" s="3" t="s">
        <v>5553</v>
      </c>
      <c r="L232" s="8" t="str">
        <f>HYPERLINK("http://slimages.macys.com/is/image/MCY/10460345 ")</f>
        <v xml:space="preserve">http://slimages.macys.com/is/image/MCY/10460345 </v>
      </c>
    </row>
    <row r="233" spans="1:12" x14ac:dyDescent="0.25">
      <c r="A233" s="6" t="s">
        <v>3123</v>
      </c>
      <c r="B233" s="3" t="s">
        <v>6155</v>
      </c>
      <c r="C233" s="4">
        <v>1</v>
      </c>
      <c r="D233" s="5">
        <v>39.979999999999997</v>
      </c>
      <c r="E233" s="4" t="s">
        <v>6156</v>
      </c>
      <c r="F233" s="3" t="s">
        <v>5532</v>
      </c>
      <c r="G233" s="7" t="s">
        <v>5311</v>
      </c>
      <c r="H233" s="3" t="s">
        <v>5585</v>
      </c>
      <c r="I233" s="3" t="s">
        <v>5586</v>
      </c>
      <c r="J233" s="3" t="s">
        <v>5536</v>
      </c>
      <c r="K233" s="3" t="s">
        <v>6157</v>
      </c>
      <c r="L233" s="8" t="str">
        <f>HYPERLINK("http://slimages.macys.com/is/image/MCY/8803309 ")</f>
        <v xml:space="preserve">http://slimages.macys.com/is/image/MCY/8803309 </v>
      </c>
    </row>
    <row r="234" spans="1:12" x14ac:dyDescent="0.25">
      <c r="A234" s="6" t="s">
        <v>3124</v>
      </c>
      <c r="B234" s="3" t="s">
        <v>6155</v>
      </c>
      <c r="C234" s="4">
        <v>1</v>
      </c>
      <c r="D234" s="5">
        <v>39.979999999999997</v>
      </c>
      <c r="E234" s="4" t="s">
        <v>6156</v>
      </c>
      <c r="F234" s="3" t="s">
        <v>5532</v>
      </c>
      <c r="G234" s="7" t="s">
        <v>5685</v>
      </c>
      <c r="H234" s="3" t="s">
        <v>5585</v>
      </c>
      <c r="I234" s="3" t="s">
        <v>5586</v>
      </c>
      <c r="J234" s="3" t="s">
        <v>5536</v>
      </c>
      <c r="K234" s="3" t="s">
        <v>6157</v>
      </c>
      <c r="L234" s="8" t="str">
        <f>HYPERLINK("http://slimages.macys.com/is/image/MCY/8803309 ")</f>
        <v xml:space="preserve">http://slimages.macys.com/is/image/MCY/8803309 </v>
      </c>
    </row>
    <row r="235" spans="1:12" x14ac:dyDescent="0.25">
      <c r="A235" s="6" t="s">
        <v>3125</v>
      </c>
      <c r="B235" s="3" t="s">
        <v>6155</v>
      </c>
      <c r="C235" s="4">
        <v>2</v>
      </c>
      <c r="D235" s="5">
        <v>79.959999999999994</v>
      </c>
      <c r="E235" s="4" t="s">
        <v>6156</v>
      </c>
      <c r="F235" s="3" t="s">
        <v>5532</v>
      </c>
      <c r="G235" s="7" t="s">
        <v>5662</v>
      </c>
      <c r="H235" s="3" t="s">
        <v>5585</v>
      </c>
      <c r="I235" s="3" t="s">
        <v>5586</v>
      </c>
      <c r="J235" s="3" t="s">
        <v>5536</v>
      </c>
      <c r="K235" s="3" t="s">
        <v>6157</v>
      </c>
      <c r="L235" s="8" t="str">
        <f>HYPERLINK("http://slimages.macys.com/is/image/MCY/8803309 ")</f>
        <v xml:space="preserve">http://slimages.macys.com/is/image/MCY/8803309 </v>
      </c>
    </row>
    <row r="236" spans="1:12" ht="24.75" x14ac:dyDescent="0.25">
      <c r="A236" s="6" t="s">
        <v>3126</v>
      </c>
      <c r="B236" s="3" t="s">
        <v>3127</v>
      </c>
      <c r="C236" s="4">
        <v>1</v>
      </c>
      <c r="D236" s="5">
        <v>59.5</v>
      </c>
      <c r="E236" s="4" t="s">
        <v>3128</v>
      </c>
      <c r="F236" s="3" t="s">
        <v>6146</v>
      </c>
      <c r="G236" s="7" t="s">
        <v>5605</v>
      </c>
      <c r="H236" s="3" t="s">
        <v>5585</v>
      </c>
      <c r="I236" s="3" t="s">
        <v>5586</v>
      </c>
      <c r="J236" s="3" t="s">
        <v>5536</v>
      </c>
      <c r="K236" s="3" t="s">
        <v>3129</v>
      </c>
      <c r="L236" s="8" t="str">
        <f>HYPERLINK("http://slimages.macys.com/is/image/MCY/8143142 ")</f>
        <v xml:space="preserve">http://slimages.macys.com/is/image/MCY/8143142 </v>
      </c>
    </row>
    <row r="237" spans="1:12" x14ac:dyDescent="0.25">
      <c r="A237" s="6" t="s">
        <v>3130</v>
      </c>
      <c r="B237" s="3" t="s">
        <v>3131</v>
      </c>
      <c r="C237" s="4">
        <v>1</v>
      </c>
      <c r="D237" s="5">
        <v>39.5</v>
      </c>
      <c r="E237" s="4">
        <v>100081887</v>
      </c>
      <c r="F237" s="3" t="s">
        <v>5540</v>
      </c>
      <c r="G237" s="7" t="s">
        <v>5598</v>
      </c>
      <c r="H237" s="3" t="s">
        <v>5585</v>
      </c>
      <c r="I237" s="3" t="s">
        <v>5734</v>
      </c>
      <c r="J237" s="3" t="s">
        <v>5536</v>
      </c>
      <c r="K237" s="3" t="s">
        <v>5574</v>
      </c>
      <c r="L237" s="8" t="str">
        <f>HYPERLINK("http://slimages.macys.com/is/image/MCY/15667317 ")</f>
        <v xml:space="preserve">http://slimages.macys.com/is/image/MCY/15667317 </v>
      </c>
    </row>
    <row r="238" spans="1:12" x14ac:dyDescent="0.25">
      <c r="A238" s="6" t="s">
        <v>3132</v>
      </c>
      <c r="B238" s="3" t="s">
        <v>3131</v>
      </c>
      <c r="C238" s="4">
        <v>1</v>
      </c>
      <c r="D238" s="5">
        <v>39.5</v>
      </c>
      <c r="E238" s="4">
        <v>100081887</v>
      </c>
      <c r="F238" s="3" t="s">
        <v>5783</v>
      </c>
      <c r="G238" s="7" t="s">
        <v>5562</v>
      </c>
      <c r="H238" s="3" t="s">
        <v>5585</v>
      </c>
      <c r="I238" s="3" t="s">
        <v>5734</v>
      </c>
      <c r="J238" s="3" t="s">
        <v>5536</v>
      </c>
      <c r="K238" s="3" t="s">
        <v>5574</v>
      </c>
      <c r="L238" s="8" t="str">
        <f>HYPERLINK("http://slimages.macys.com/is/image/MCY/15667317 ")</f>
        <v xml:space="preserve">http://slimages.macys.com/is/image/MCY/15667317 </v>
      </c>
    </row>
    <row r="239" spans="1:12" x14ac:dyDescent="0.25">
      <c r="A239" s="6" t="s">
        <v>3133</v>
      </c>
      <c r="B239" s="3" t="s">
        <v>3134</v>
      </c>
      <c r="C239" s="4">
        <v>1</v>
      </c>
      <c r="D239" s="5">
        <v>39.99</v>
      </c>
      <c r="E239" s="4" t="s">
        <v>3135</v>
      </c>
      <c r="F239" s="3" t="s">
        <v>5625</v>
      </c>
      <c r="G239" s="7" t="s">
        <v>5533</v>
      </c>
      <c r="H239" s="3" t="s">
        <v>6065</v>
      </c>
      <c r="I239" s="3" t="s">
        <v>6066</v>
      </c>
      <c r="J239" s="3" t="s">
        <v>5536</v>
      </c>
      <c r="K239" s="3" t="s">
        <v>5574</v>
      </c>
      <c r="L239" s="8" t="str">
        <f>HYPERLINK("http://slimages.macys.com/is/image/MCY/14342986 ")</f>
        <v xml:space="preserve">http://slimages.macys.com/is/image/MCY/14342986 </v>
      </c>
    </row>
    <row r="240" spans="1:12" ht="24.75" x14ac:dyDescent="0.25">
      <c r="A240" s="6" t="s">
        <v>3136</v>
      </c>
      <c r="B240" s="3" t="s">
        <v>3137</v>
      </c>
      <c r="C240" s="4">
        <v>1</v>
      </c>
      <c r="D240" s="5">
        <v>45</v>
      </c>
      <c r="E240" s="4" t="s">
        <v>3138</v>
      </c>
      <c r="F240" s="3" t="s">
        <v>5661</v>
      </c>
      <c r="G240" s="7" t="s">
        <v>5598</v>
      </c>
      <c r="H240" s="3" t="s">
        <v>6019</v>
      </c>
      <c r="I240" s="3" t="s">
        <v>6020</v>
      </c>
      <c r="J240" s="3" t="s">
        <v>5536</v>
      </c>
      <c r="K240" s="3" t="s">
        <v>5594</v>
      </c>
      <c r="L240" s="8" t="str">
        <f>HYPERLINK("http://slimages.macys.com/is/image/MCY/13289592 ")</f>
        <v xml:space="preserve">http://slimages.macys.com/is/image/MCY/13289592 </v>
      </c>
    </row>
    <row r="241" spans="1:12" ht="24.75" x14ac:dyDescent="0.25">
      <c r="A241" s="6" t="s">
        <v>3139</v>
      </c>
      <c r="B241" s="3" t="s">
        <v>3140</v>
      </c>
      <c r="C241" s="4">
        <v>1</v>
      </c>
      <c r="D241" s="5">
        <v>40</v>
      </c>
      <c r="E241" s="4" t="s">
        <v>3141</v>
      </c>
      <c r="F241" s="3" t="s">
        <v>5540</v>
      </c>
      <c r="G241" s="7" t="s">
        <v>5852</v>
      </c>
      <c r="H241" s="3" t="s">
        <v>6019</v>
      </c>
      <c r="I241" s="3" t="s">
        <v>3918</v>
      </c>
      <c r="J241" s="3" t="s">
        <v>5536</v>
      </c>
      <c r="K241" s="3" t="s">
        <v>5549</v>
      </c>
      <c r="L241" s="8" t="str">
        <f>HYPERLINK("http://slimages.macys.com/is/image/MCY/15863260 ")</f>
        <v xml:space="preserve">http://slimages.macys.com/is/image/MCY/15863260 </v>
      </c>
    </row>
    <row r="242" spans="1:12" x14ac:dyDescent="0.25">
      <c r="A242" s="6" t="s">
        <v>3142</v>
      </c>
      <c r="B242" s="3" t="s">
        <v>3143</v>
      </c>
      <c r="C242" s="4">
        <v>1</v>
      </c>
      <c r="D242" s="5">
        <v>49.5</v>
      </c>
      <c r="E242" s="4">
        <v>100038511</v>
      </c>
      <c r="F242" s="3" t="s">
        <v>5578</v>
      </c>
      <c r="G242" s="7" t="s">
        <v>5562</v>
      </c>
      <c r="H242" s="3" t="s">
        <v>5585</v>
      </c>
      <c r="I242" s="3" t="s">
        <v>5734</v>
      </c>
      <c r="J242" s="3" t="s">
        <v>5536</v>
      </c>
      <c r="K242" s="3" t="s">
        <v>5594</v>
      </c>
      <c r="L242" s="8" t="str">
        <f>HYPERLINK("http://slimages.macys.com/is/image/MCY/11231649 ")</f>
        <v xml:space="preserve">http://slimages.macys.com/is/image/MCY/11231649 </v>
      </c>
    </row>
    <row r="243" spans="1:12" x14ac:dyDescent="0.25">
      <c r="A243" s="6" t="s">
        <v>3144</v>
      </c>
      <c r="B243" s="3" t="s">
        <v>3145</v>
      </c>
      <c r="C243" s="4">
        <v>1</v>
      </c>
      <c r="D243" s="5">
        <v>49.5</v>
      </c>
      <c r="E243" s="4">
        <v>100061157</v>
      </c>
      <c r="F243" s="3" t="s">
        <v>5578</v>
      </c>
      <c r="G243" s="7" t="s">
        <v>5560</v>
      </c>
      <c r="H243" s="3" t="s">
        <v>5585</v>
      </c>
      <c r="I243" s="3" t="s">
        <v>5734</v>
      </c>
      <c r="J243" s="3" t="s">
        <v>5536</v>
      </c>
      <c r="K243" s="3" t="s">
        <v>5594</v>
      </c>
      <c r="L243" s="8" t="str">
        <f>HYPERLINK("http://slimages.macys.com/is/image/MCY/15212617 ")</f>
        <v xml:space="preserve">http://slimages.macys.com/is/image/MCY/15212617 </v>
      </c>
    </row>
    <row r="244" spans="1:12" ht="24.75" x14ac:dyDescent="0.25">
      <c r="A244" s="6" t="s">
        <v>4111</v>
      </c>
      <c r="B244" s="3" t="s">
        <v>4103</v>
      </c>
      <c r="C244" s="4">
        <v>2</v>
      </c>
      <c r="D244" s="5">
        <v>59.98</v>
      </c>
      <c r="E244" s="4" t="s">
        <v>4104</v>
      </c>
      <c r="F244" s="3" t="s">
        <v>5532</v>
      </c>
      <c r="G244" s="7" t="s">
        <v>5560</v>
      </c>
      <c r="H244" s="3" t="s">
        <v>6608</v>
      </c>
      <c r="I244" s="3" t="s">
        <v>6609</v>
      </c>
      <c r="J244" s="3" t="s">
        <v>5536</v>
      </c>
      <c r="K244" s="3" t="s">
        <v>5594</v>
      </c>
      <c r="L244" s="8" t="str">
        <f>HYPERLINK("http://slimages.macys.com/is/image/MCY/9820981 ")</f>
        <v xml:space="preserve">http://slimages.macys.com/is/image/MCY/9820981 </v>
      </c>
    </row>
    <row r="245" spans="1:12" x14ac:dyDescent="0.25">
      <c r="A245" s="6" t="s">
        <v>2354</v>
      </c>
      <c r="B245" s="3" t="s">
        <v>2352</v>
      </c>
      <c r="C245" s="4">
        <v>1</v>
      </c>
      <c r="D245" s="5">
        <v>39.99</v>
      </c>
      <c r="E245" s="4" t="s">
        <v>2353</v>
      </c>
      <c r="F245" s="3" t="s">
        <v>5540</v>
      </c>
      <c r="G245" s="7" t="s">
        <v>5562</v>
      </c>
      <c r="H245" s="3" t="s">
        <v>5978</v>
      </c>
      <c r="I245" s="3" t="s">
        <v>5979</v>
      </c>
      <c r="J245" s="3" t="s">
        <v>5536</v>
      </c>
      <c r="K245" s="3" t="s">
        <v>5594</v>
      </c>
      <c r="L245" s="8" t="str">
        <f>HYPERLINK("http://slimages.macys.com/is/image/MCY/15250591 ")</f>
        <v xml:space="preserve">http://slimages.macys.com/is/image/MCY/15250591 </v>
      </c>
    </row>
    <row r="246" spans="1:12" x14ac:dyDescent="0.25">
      <c r="A246" s="6" t="s">
        <v>3146</v>
      </c>
      <c r="B246" s="3" t="s">
        <v>2352</v>
      </c>
      <c r="C246" s="4">
        <v>1</v>
      </c>
      <c r="D246" s="5">
        <v>39.99</v>
      </c>
      <c r="E246" s="4" t="s">
        <v>2353</v>
      </c>
      <c r="F246" s="3" t="s">
        <v>5532</v>
      </c>
      <c r="G246" s="7" t="s">
        <v>5598</v>
      </c>
      <c r="H246" s="3" t="s">
        <v>5978</v>
      </c>
      <c r="I246" s="3" t="s">
        <v>5979</v>
      </c>
      <c r="J246" s="3" t="s">
        <v>5536</v>
      </c>
      <c r="K246" s="3" t="s">
        <v>5594</v>
      </c>
      <c r="L246" s="8" t="str">
        <f>HYPERLINK("http://slimages.macys.com/is/image/MCY/15250591 ")</f>
        <v xml:space="preserve">http://slimages.macys.com/is/image/MCY/15250591 </v>
      </c>
    </row>
    <row r="247" spans="1:12" x14ac:dyDescent="0.25">
      <c r="A247" s="6" t="s">
        <v>3147</v>
      </c>
      <c r="B247" s="3" t="s">
        <v>4119</v>
      </c>
      <c r="C247" s="4">
        <v>1</v>
      </c>
      <c r="D247" s="5">
        <v>34.99</v>
      </c>
      <c r="E247" s="4" t="s">
        <v>4120</v>
      </c>
      <c r="F247" s="3" t="s">
        <v>5532</v>
      </c>
      <c r="G247" s="7" t="s">
        <v>5533</v>
      </c>
      <c r="H247" s="3" t="s">
        <v>6065</v>
      </c>
      <c r="I247" s="3" t="s">
        <v>6066</v>
      </c>
      <c r="J247" s="3" t="s">
        <v>5536</v>
      </c>
      <c r="K247" s="3" t="s">
        <v>5587</v>
      </c>
      <c r="L247" s="8" t="str">
        <f>HYPERLINK("http://slimages.macys.com/is/image/MCY/15859353 ")</f>
        <v xml:space="preserve">http://slimages.macys.com/is/image/MCY/15859353 </v>
      </c>
    </row>
    <row r="248" spans="1:12" x14ac:dyDescent="0.25">
      <c r="A248" s="6" t="s">
        <v>3148</v>
      </c>
      <c r="B248" s="3" t="s">
        <v>4119</v>
      </c>
      <c r="C248" s="4">
        <v>2</v>
      </c>
      <c r="D248" s="5">
        <v>69.98</v>
      </c>
      <c r="E248" s="4" t="s">
        <v>4120</v>
      </c>
      <c r="F248" s="3" t="s">
        <v>5532</v>
      </c>
      <c r="G248" s="7" t="s">
        <v>5560</v>
      </c>
      <c r="H248" s="3" t="s">
        <v>6065</v>
      </c>
      <c r="I248" s="3" t="s">
        <v>6066</v>
      </c>
      <c r="J248" s="3" t="s">
        <v>5536</v>
      </c>
      <c r="K248" s="3" t="s">
        <v>5587</v>
      </c>
      <c r="L248" s="8" t="str">
        <f>HYPERLINK("http://slimages.macys.com/is/image/MCY/15859353 ")</f>
        <v xml:space="preserve">http://slimages.macys.com/is/image/MCY/15859353 </v>
      </c>
    </row>
    <row r="249" spans="1:12" ht="24.75" x14ac:dyDescent="0.25">
      <c r="A249" s="6" t="s">
        <v>4904</v>
      </c>
      <c r="B249" s="3" t="s">
        <v>4905</v>
      </c>
      <c r="C249" s="4">
        <v>1</v>
      </c>
      <c r="D249" s="5">
        <v>27.99</v>
      </c>
      <c r="E249" s="4" t="s">
        <v>4906</v>
      </c>
      <c r="F249" s="3" t="s">
        <v>6983</v>
      </c>
      <c r="G249" s="7"/>
      <c r="H249" s="3" t="s">
        <v>6280</v>
      </c>
      <c r="I249" s="3" t="s">
        <v>4889</v>
      </c>
      <c r="J249" s="3" t="s">
        <v>5536</v>
      </c>
      <c r="K249" s="3" t="s">
        <v>6316</v>
      </c>
      <c r="L249" s="8" t="str">
        <f>HYPERLINK("http://slimages.macys.com/is/image/MCY/15954226 ")</f>
        <v xml:space="preserve">http://slimages.macys.com/is/image/MCY/15954226 </v>
      </c>
    </row>
    <row r="250" spans="1:12" ht="24.75" x14ac:dyDescent="0.25">
      <c r="A250" s="6" t="s">
        <v>4925</v>
      </c>
      <c r="B250" s="3" t="s">
        <v>4926</v>
      </c>
      <c r="C250" s="4">
        <v>1</v>
      </c>
      <c r="D250" s="5">
        <v>27.99</v>
      </c>
      <c r="E250" s="4" t="s">
        <v>4927</v>
      </c>
      <c r="F250" s="3" t="s">
        <v>5661</v>
      </c>
      <c r="G250" s="7"/>
      <c r="H250" s="3" t="s">
        <v>6280</v>
      </c>
      <c r="I250" s="3" t="s">
        <v>4889</v>
      </c>
      <c r="J250" s="3" t="s">
        <v>5536</v>
      </c>
      <c r="K250" s="3" t="s">
        <v>6295</v>
      </c>
      <c r="L250" s="8" t="str">
        <f>HYPERLINK("http://slimages.macys.com/is/image/MCY/15420079 ")</f>
        <v xml:space="preserve">http://slimages.macys.com/is/image/MCY/15420079 </v>
      </c>
    </row>
    <row r="251" spans="1:12" ht="36.75" x14ac:dyDescent="0.25">
      <c r="A251" s="6" t="s">
        <v>3149</v>
      </c>
      <c r="B251" s="3" t="s">
        <v>3150</v>
      </c>
      <c r="C251" s="4">
        <v>1</v>
      </c>
      <c r="D251" s="5">
        <v>39.5</v>
      </c>
      <c r="E251" s="4" t="s">
        <v>3151</v>
      </c>
      <c r="F251" s="3" t="s">
        <v>5540</v>
      </c>
      <c r="G251" s="7"/>
      <c r="H251" s="3" t="s">
        <v>5585</v>
      </c>
      <c r="I251" s="3" t="s">
        <v>2737</v>
      </c>
      <c r="J251" s="3" t="s">
        <v>5536</v>
      </c>
      <c r="K251" s="3" t="s">
        <v>3152</v>
      </c>
      <c r="L251" s="8" t="str">
        <f>HYPERLINK("http://slimages.macys.com/is/image/MCY/15669117 ")</f>
        <v xml:space="preserve">http://slimages.macys.com/is/image/MCY/15669117 </v>
      </c>
    </row>
    <row r="252" spans="1:12" x14ac:dyDescent="0.25">
      <c r="A252" s="6" t="s">
        <v>3153</v>
      </c>
      <c r="B252" s="3" t="s">
        <v>2374</v>
      </c>
      <c r="C252" s="4">
        <v>1</v>
      </c>
      <c r="D252" s="5">
        <v>39.99</v>
      </c>
      <c r="E252" s="4" t="s">
        <v>2375</v>
      </c>
      <c r="F252" s="3" t="s">
        <v>5578</v>
      </c>
      <c r="G252" s="7" t="s">
        <v>5596</v>
      </c>
      <c r="H252" s="3" t="s">
        <v>6003</v>
      </c>
      <c r="I252" s="3" t="s">
        <v>6004</v>
      </c>
      <c r="J252" s="3" t="s">
        <v>5536</v>
      </c>
      <c r="K252" s="3" t="s">
        <v>5594</v>
      </c>
      <c r="L252" s="8" t="str">
        <f>HYPERLINK("http://slimages.macys.com/is/image/MCY/15384455 ")</f>
        <v xml:space="preserve">http://slimages.macys.com/is/image/MCY/15384455 </v>
      </c>
    </row>
    <row r="253" spans="1:12" ht="24.75" x14ac:dyDescent="0.25">
      <c r="A253" s="6" t="s">
        <v>3154</v>
      </c>
      <c r="B253" s="3" t="s">
        <v>3155</v>
      </c>
      <c r="C253" s="4">
        <v>1</v>
      </c>
      <c r="D253" s="5">
        <v>45</v>
      </c>
      <c r="E253" s="4" t="s">
        <v>3156</v>
      </c>
      <c r="F253" s="3" t="s">
        <v>5783</v>
      </c>
      <c r="G253" s="7" t="s">
        <v>5596</v>
      </c>
      <c r="H253" s="3" t="s">
        <v>6492</v>
      </c>
      <c r="I253" s="3" t="s">
        <v>6604</v>
      </c>
      <c r="J253" s="3" t="s">
        <v>5536</v>
      </c>
      <c r="K253" s="3" t="s">
        <v>5574</v>
      </c>
      <c r="L253" s="8" t="str">
        <f>HYPERLINK("http://slimages.macys.com/is/image/MCY/15851391 ")</f>
        <v xml:space="preserve">http://slimages.macys.com/is/image/MCY/15851391 </v>
      </c>
    </row>
    <row r="254" spans="1:12" ht="24.75" x14ac:dyDescent="0.25">
      <c r="A254" s="6" t="s">
        <v>3157</v>
      </c>
      <c r="B254" s="3" t="s">
        <v>3155</v>
      </c>
      <c r="C254" s="4">
        <v>2</v>
      </c>
      <c r="D254" s="5">
        <v>90</v>
      </c>
      <c r="E254" s="4" t="s">
        <v>3156</v>
      </c>
      <c r="F254" s="3" t="s">
        <v>5783</v>
      </c>
      <c r="G254" s="7" t="s">
        <v>5598</v>
      </c>
      <c r="H254" s="3" t="s">
        <v>6492</v>
      </c>
      <c r="I254" s="3" t="s">
        <v>6604</v>
      </c>
      <c r="J254" s="3" t="s">
        <v>5536</v>
      </c>
      <c r="K254" s="3" t="s">
        <v>5574</v>
      </c>
      <c r="L254" s="8" t="str">
        <f>HYPERLINK("http://slimages.macys.com/is/image/MCY/15851391 ")</f>
        <v xml:space="preserve">http://slimages.macys.com/is/image/MCY/15851391 </v>
      </c>
    </row>
    <row r="255" spans="1:12" ht="24.75" x14ac:dyDescent="0.25">
      <c r="A255" s="6" t="s">
        <v>3158</v>
      </c>
      <c r="B255" s="3" t="s">
        <v>3159</v>
      </c>
      <c r="C255" s="4">
        <v>2</v>
      </c>
      <c r="D255" s="5">
        <v>90</v>
      </c>
      <c r="E255" s="4" t="s">
        <v>3160</v>
      </c>
      <c r="F255" s="3" t="s">
        <v>5540</v>
      </c>
      <c r="G255" s="7" t="s">
        <v>5533</v>
      </c>
      <c r="H255" s="3" t="s">
        <v>6492</v>
      </c>
      <c r="I255" s="3" t="s">
        <v>6604</v>
      </c>
      <c r="J255" s="3" t="s">
        <v>5536</v>
      </c>
      <c r="K255" s="3" t="s">
        <v>5574</v>
      </c>
      <c r="L255" s="8" t="str">
        <f>HYPERLINK("http://slimages.macys.com/is/image/MCY/15851386 ")</f>
        <v xml:space="preserve">http://slimages.macys.com/is/image/MCY/15851386 </v>
      </c>
    </row>
    <row r="256" spans="1:12" ht="24.75" x14ac:dyDescent="0.25">
      <c r="A256" s="6" t="s">
        <v>3161</v>
      </c>
      <c r="B256" s="3" t="s">
        <v>3159</v>
      </c>
      <c r="C256" s="4">
        <v>4</v>
      </c>
      <c r="D256" s="5">
        <v>180</v>
      </c>
      <c r="E256" s="4" t="s">
        <v>3160</v>
      </c>
      <c r="F256" s="3" t="s">
        <v>5540</v>
      </c>
      <c r="G256" s="7" t="s">
        <v>5598</v>
      </c>
      <c r="H256" s="3" t="s">
        <v>6492</v>
      </c>
      <c r="I256" s="3" t="s">
        <v>6604</v>
      </c>
      <c r="J256" s="3" t="s">
        <v>5536</v>
      </c>
      <c r="K256" s="3" t="s">
        <v>5574</v>
      </c>
      <c r="L256" s="8" t="str">
        <f>HYPERLINK("http://slimages.macys.com/is/image/MCY/15851386 ")</f>
        <v xml:space="preserve">http://slimages.macys.com/is/image/MCY/15851386 </v>
      </c>
    </row>
    <row r="257" spans="1:12" ht="24.75" x14ac:dyDescent="0.25">
      <c r="A257" s="6" t="s">
        <v>3162</v>
      </c>
      <c r="B257" s="3" t="s">
        <v>3163</v>
      </c>
      <c r="C257" s="4">
        <v>1</v>
      </c>
      <c r="D257" s="5">
        <v>45</v>
      </c>
      <c r="E257" s="4" t="s">
        <v>3164</v>
      </c>
      <c r="F257" s="3" t="s">
        <v>5977</v>
      </c>
      <c r="G257" s="7" t="s">
        <v>5598</v>
      </c>
      <c r="H257" s="3" t="s">
        <v>6492</v>
      </c>
      <c r="I257" s="3" t="s">
        <v>6604</v>
      </c>
      <c r="J257" s="3" t="s">
        <v>5536</v>
      </c>
      <c r="K257" s="3" t="s">
        <v>5574</v>
      </c>
      <c r="L257" s="8" t="str">
        <f>HYPERLINK("http://slimages.macys.com/is/image/MCY/15851392 ")</f>
        <v xml:space="preserve">http://slimages.macys.com/is/image/MCY/15851392 </v>
      </c>
    </row>
    <row r="258" spans="1:12" x14ac:dyDescent="0.25">
      <c r="A258" s="6" t="s">
        <v>3165</v>
      </c>
      <c r="B258" s="3" t="s">
        <v>3166</v>
      </c>
      <c r="C258" s="4">
        <v>1</v>
      </c>
      <c r="D258" s="5">
        <v>49.5</v>
      </c>
      <c r="E258" s="4">
        <v>100082399</v>
      </c>
      <c r="F258" s="3" t="s">
        <v>5977</v>
      </c>
      <c r="G258" s="7" t="s">
        <v>5562</v>
      </c>
      <c r="H258" s="3" t="s">
        <v>5585</v>
      </c>
      <c r="I258" s="3" t="s">
        <v>5734</v>
      </c>
      <c r="J258" s="3" t="s">
        <v>5536</v>
      </c>
      <c r="K258" s="3" t="s">
        <v>3167</v>
      </c>
      <c r="L258" s="8" t="str">
        <f>HYPERLINK("http://slimages.macys.com/is/image/MCY/15905139 ")</f>
        <v xml:space="preserve">http://slimages.macys.com/is/image/MCY/15905139 </v>
      </c>
    </row>
    <row r="259" spans="1:12" x14ac:dyDescent="0.25">
      <c r="A259" s="6" t="s">
        <v>3168</v>
      </c>
      <c r="B259" s="3" t="s">
        <v>3166</v>
      </c>
      <c r="C259" s="4">
        <v>1</v>
      </c>
      <c r="D259" s="5">
        <v>49.5</v>
      </c>
      <c r="E259" s="4">
        <v>100082399</v>
      </c>
      <c r="F259" s="3" t="s">
        <v>5977</v>
      </c>
      <c r="G259" s="7" t="s">
        <v>5598</v>
      </c>
      <c r="H259" s="3" t="s">
        <v>5585</v>
      </c>
      <c r="I259" s="3" t="s">
        <v>5734</v>
      </c>
      <c r="J259" s="3" t="s">
        <v>5536</v>
      </c>
      <c r="K259" s="3" t="s">
        <v>3167</v>
      </c>
      <c r="L259" s="8" t="str">
        <f>HYPERLINK("http://slimages.macys.com/is/image/MCY/15905139 ")</f>
        <v xml:space="preserve">http://slimages.macys.com/is/image/MCY/15905139 </v>
      </c>
    </row>
    <row r="260" spans="1:12" x14ac:dyDescent="0.25">
      <c r="A260" s="6" t="s">
        <v>3169</v>
      </c>
      <c r="B260" s="3" t="s">
        <v>3170</v>
      </c>
      <c r="C260" s="4">
        <v>1</v>
      </c>
      <c r="D260" s="5">
        <v>49.5</v>
      </c>
      <c r="E260" s="4">
        <v>100012312</v>
      </c>
      <c r="F260" s="3" t="s">
        <v>5783</v>
      </c>
      <c r="G260" s="7" t="s">
        <v>5598</v>
      </c>
      <c r="H260" s="3" t="s">
        <v>5585</v>
      </c>
      <c r="I260" s="3" t="s">
        <v>5586</v>
      </c>
      <c r="J260" s="3" t="s">
        <v>5536</v>
      </c>
      <c r="K260" s="3" t="s">
        <v>5594</v>
      </c>
      <c r="L260" s="8" t="str">
        <f>HYPERLINK("http://slimages.macys.com/is/image/MCY/15098588 ")</f>
        <v xml:space="preserve">http://slimages.macys.com/is/image/MCY/15098588 </v>
      </c>
    </row>
    <row r="261" spans="1:12" x14ac:dyDescent="0.25">
      <c r="A261" s="6" t="s">
        <v>3171</v>
      </c>
      <c r="B261" s="3" t="s">
        <v>3172</v>
      </c>
      <c r="C261" s="4">
        <v>1</v>
      </c>
      <c r="D261" s="5">
        <v>29.99</v>
      </c>
      <c r="E261" s="4" t="s">
        <v>3173</v>
      </c>
      <c r="F261" s="3" t="s">
        <v>5625</v>
      </c>
      <c r="G261" s="7" t="s">
        <v>5596</v>
      </c>
      <c r="H261" s="3" t="s">
        <v>6065</v>
      </c>
      <c r="I261" s="3" t="s">
        <v>6066</v>
      </c>
      <c r="J261" s="3" t="s">
        <v>5536</v>
      </c>
      <c r="K261" s="3" t="s">
        <v>5549</v>
      </c>
      <c r="L261" s="8" t="str">
        <f>HYPERLINK("http://slimages.macys.com/is/image/MCY/15785126 ")</f>
        <v xml:space="preserve">http://slimages.macys.com/is/image/MCY/15785126 </v>
      </c>
    </row>
    <row r="262" spans="1:12" x14ac:dyDescent="0.25">
      <c r="A262" s="6" t="s">
        <v>3174</v>
      </c>
      <c r="B262" s="3" t="s">
        <v>3175</v>
      </c>
      <c r="C262" s="4">
        <v>1</v>
      </c>
      <c r="D262" s="5">
        <v>39.99</v>
      </c>
      <c r="E262" s="4" t="s">
        <v>3176</v>
      </c>
      <c r="F262" s="3" t="s">
        <v>5540</v>
      </c>
      <c r="G262" s="7" t="s">
        <v>5560</v>
      </c>
      <c r="H262" s="3" t="s">
        <v>5978</v>
      </c>
      <c r="I262" s="3" t="s">
        <v>5979</v>
      </c>
      <c r="J262" s="3" t="s">
        <v>5536</v>
      </c>
      <c r="K262" s="3" t="s">
        <v>5549</v>
      </c>
      <c r="L262" s="8" t="str">
        <f>HYPERLINK("http://slimages.macys.com/is/image/MCY/15894874 ")</f>
        <v xml:space="preserve">http://slimages.macys.com/is/image/MCY/15894874 </v>
      </c>
    </row>
    <row r="263" spans="1:12" ht="24.75" x14ac:dyDescent="0.25">
      <c r="A263" s="6" t="s">
        <v>3177</v>
      </c>
      <c r="B263" s="3" t="s">
        <v>3178</v>
      </c>
      <c r="C263" s="4">
        <v>1</v>
      </c>
      <c r="D263" s="5">
        <v>33</v>
      </c>
      <c r="E263" s="4" t="s">
        <v>3179</v>
      </c>
      <c r="F263" s="3" t="s">
        <v>5754</v>
      </c>
      <c r="G263" s="7" t="s">
        <v>5596</v>
      </c>
      <c r="H263" s="3" t="s">
        <v>6026</v>
      </c>
      <c r="I263" s="3" t="s">
        <v>6600</v>
      </c>
      <c r="J263" s="3" t="s">
        <v>5536</v>
      </c>
      <c r="K263" s="3" t="s">
        <v>5587</v>
      </c>
      <c r="L263" s="8" t="str">
        <f>HYPERLINK("http://slimages.macys.com/is/image/MCY/10319846 ")</f>
        <v xml:space="preserve">http://slimages.macys.com/is/image/MCY/10319846 </v>
      </c>
    </row>
    <row r="264" spans="1:12" ht="24.75" x14ac:dyDescent="0.25">
      <c r="A264" s="6" t="s">
        <v>2380</v>
      </c>
      <c r="B264" s="3" t="s">
        <v>6263</v>
      </c>
      <c r="C264" s="4">
        <v>1</v>
      </c>
      <c r="D264" s="5">
        <v>25.5</v>
      </c>
      <c r="E264" s="4" t="s">
        <v>6264</v>
      </c>
      <c r="F264" s="3" t="s">
        <v>6335</v>
      </c>
      <c r="G264" s="7"/>
      <c r="H264" s="3" t="s">
        <v>5825</v>
      </c>
      <c r="I264" s="3" t="s">
        <v>6265</v>
      </c>
      <c r="J264" s="3" t="s">
        <v>5536</v>
      </c>
      <c r="K264" s="3" t="s">
        <v>6266</v>
      </c>
      <c r="L264" s="8" t="str">
        <f>HYPERLINK("http://slimages.macys.com/is/image/MCY/11518029 ")</f>
        <v xml:space="preserve">http://slimages.macys.com/is/image/MCY/11518029 </v>
      </c>
    </row>
    <row r="265" spans="1:12" ht="24.75" x14ac:dyDescent="0.25">
      <c r="A265" s="6" t="s">
        <v>3180</v>
      </c>
      <c r="B265" s="3" t="s">
        <v>6263</v>
      </c>
      <c r="C265" s="4">
        <v>1</v>
      </c>
      <c r="D265" s="5">
        <v>25.5</v>
      </c>
      <c r="E265" s="4" t="s">
        <v>6264</v>
      </c>
      <c r="F265" s="3" t="s">
        <v>6217</v>
      </c>
      <c r="G265" s="7"/>
      <c r="H265" s="3" t="s">
        <v>5825</v>
      </c>
      <c r="I265" s="3" t="s">
        <v>6265</v>
      </c>
      <c r="J265" s="3" t="s">
        <v>5536</v>
      </c>
      <c r="K265" s="3" t="s">
        <v>6266</v>
      </c>
      <c r="L265" s="8" t="str">
        <f>HYPERLINK("http://slimages.macys.com/is/image/MCY/11518029 ")</f>
        <v xml:space="preserve">http://slimages.macys.com/is/image/MCY/11518029 </v>
      </c>
    </row>
    <row r="266" spans="1:12" x14ac:dyDescent="0.25">
      <c r="A266" s="6" t="s">
        <v>3181</v>
      </c>
      <c r="B266" s="3" t="s">
        <v>6269</v>
      </c>
      <c r="C266" s="4">
        <v>1</v>
      </c>
      <c r="D266" s="5">
        <v>39.99</v>
      </c>
      <c r="E266" s="4" t="s">
        <v>6270</v>
      </c>
      <c r="F266" s="3" t="s">
        <v>6271</v>
      </c>
      <c r="G266" s="7" t="s">
        <v>5562</v>
      </c>
      <c r="H266" s="3" t="s">
        <v>6065</v>
      </c>
      <c r="I266" s="3" t="s">
        <v>6066</v>
      </c>
      <c r="J266" s="3" t="s">
        <v>5536</v>
      </c>
      <c r="K266" s="3" t="s">
        <v>5594</v>
      </c>
      <c r="L266" s="8" t="str">
        <f>HYPERLINK("http://slimages.macys.com/is/image/MCY/15361335 ")</f>
        <v xml:space="preserve">http://slimages.macys.com/is/image/MCY/15361335 </v>
      </c>
    </row>
    <row r="267" spans="1:12" ht="24.75" x14ac:dyDescent="0.25">
      <c r="A267" s="6" t="s">
        <v>3182</v>
      </c>
      <c r="B267" s="3" t="s">
        <v>6344</v>
      </c>
      <c r="C267" s="4">
        <v>1</v>
      </c>
      <c r="D267" s="5">
        <v>28</v>
      </c>
      <c r="E267" s="4">
        <v>87993501</v>
      </c>
      <c r="F267" s="3" t="s">
        <v>6217</v>
      </c>
      <c r="G267" s="7" t="s">
        <v>5898</v>
      </c>
      <c r="H267" s="3" t="s">
        <v>6280</v>
      </c>
      <c r="I267" s="3" t="s">
        <v>6281</v>
      </c>
      <c r="J267" s="3" t="s">
        <v>5536</v>
      </c>
      <c r="K267" s="3" t="s">
        <v>6338</v>
      </c>
      <c r="L267" s="8" t="str">
        <f>HYPERLINK("http://slimages.macys.com/is/image/MCY/13909913 ")</f>
        <v xml:space="preserve">http://slimages.macys.com/is/image/MCY/13909913 </v>
      </c>
    </row>
    <row r="268" spans="1:12" ht="24.75" x14ac:dyDescent="0.25">
      <c r="A268" s="6" t="s">
        <v>3183</v>
      </c>
      <c r="B268" s="3" t="s">
        <v>3184</v>
      </c>
      <c r="C268" s="4">
        <v>1</v>
      </c>
      <c r="D268" s="5">
        <v>28</v>
      </c>
      <c r="E268" s="4" t="s">
        <v>3185</v>
      </c>
      <c r="F268" s="3" t="s">
        <v>5625</v>
      </c>
      <c r="G268" s="7" t="s">
        <v>5898</v>
      </c>
      <c r="H268" s="3" t="s">
        <v>6280</v>
      </c>
      <c r="I268" s="3" t="s">
        <v>6288</v>
      </c>
      <c r="J268" s="3" t="s">
        <v>5536</v>
      </c>
      <c r="K268" s="3" t="s">
        <v>6372</v>
      </c>
      <c r="L268" s="8" t="str">
        <f>HYPERLINK("http://slimages.macys.com/is/image/MCY/16213893 ")</f>
        <v xml:space="preserve">http://slimages.macys.com/is/image/MCY/16213893 </v>
      </c>
    </row>
    <row r="269" spans="1:12" ht="24.75" x14ac:dyDescent="0.25">
      <c r="A269" s="6" t="s">
        <v>3186</v>
      </c>
      <c r="B269" s="3" t="s">
        <v>6425</v>
      </c>
      <c r="C269" s="4">
        <v>3</v>
      </c>
      <c r="D269" s="5">
        <v>83.97</v>
      </c>
      <c r="E269" s="4" t="s">
        <v>6426</v>
      </c>
      <c r="F269" s="3" t="s">
        <v>5532</v>
      </c>
      <c r="G269" s="7" t="s">
        <v>6252</v>
      </c>
      <c r="H269" s="3" t="s">
        <v>6280</v>
      </c>
      <c r="I269" s="3" t="s">
        <v>6420</v>
      </c>
      <c r="J269" s="3" t="s">
        <v>5536</v>
      </c>
      <c r="K269" s="3" t="s">
        <v>5727</v>
      </c>
      <c r="L269" s="8" t="str">
        <f>HYPERLINK("http://slimages.macys.com/is/image/MCY/16125170 ")</f>
        <v xml:space="preserve">http://slimages.macys.com/is/image/MCY/16125170 </v>
      </c>
    </row>
    <row r="270" spans="1:12" ht="24.75" x14ac:dyDescent="0.25">
      <c r="A270" s="6" t="s">
        <v>3187</v>
      </c>
      <c r="B270" s="3" t="s">
        <v>6425</v>
      </c>
      <c r="C270" s="4">
        <v>3</v>
      </c>
      <c r="D270" s="5">
        <v>83.97</v>
      </c>
      <c r="E270" s="4" t="s">
        <v>6426</v>
      </c>
      <c r="F270" s="3" t="s">
        <v>5610</v>
      </c>
      <c r="G270" s="7" t="s">
        <v>6252</v>
      </c>
      <c r="H270" s="3" t="s">
        <v>6280</v>
      </c>
      <c r="I270" s="3" t="s">
        <v>6420</v>
      </c>
      <c r="J270" s="3" t="s">
        <v>5536</v>
      </c>
      <c r="K270" s="3" t="s">
        <v>5727</v>
      </c>
      <c r="L270" s="8" t="str">
        <f>HYPERLINK("http://slimages.macys.com/is/image/MCY/16125170 ")</f>
        <v xml:space="preserve">http://slimages.macys.com/is/image/MCY/16125170 </v>
      </c>
    </row>
    <row r="271" spans="1:12" ht="24.75" x14ac:dyDescent="0.25">
      <c r="A271" s="6" t="s">
        <v>6447</v>
      </c>
      <c r="B271" s="3" t="s">
        <v>6436</v>
      </c>
      <c r="C271" s="4">
        <v>3</v>
      </c>
      <c r="D271" s="5">
        <v>83.97</v>
      </c>
      <c r="E271" s="4" t="s">
        <v>6437</v>
      </c>
      <c r="F271" s="3" t="s">
        <v>5540</v>
      </c>
      <c r="G271" s="7" t="s">
        <v>6252</v>
      </c>
      <c r="H271" s="3" t="s">
        <v>6280</v>
      </c>
      <c r="I271" s="3" t="s">
        <v>6420</v>
      </c>
      <c r="J271" s="3" t="s">
        <v>5536</v>
      </c>
      <c r="K271" s="3" t="s">
        <v>5727</v>
      </c>
      <c r="L271" s="8" t="str">
        <f>HYPERLINK("http://slimages.macys.com/is/image/MCY/15900446 ")</f>
        <v xml:space="preserve">http://slimages.macys.com/is/image/MCY/15900446 </v>
      </c>
    </row>
    <row r="272" spans="1:12" ht="24.75" x14ac:dyDescent="0.25">
      <c r="A272" s="6" t="s">
        <v>3188</v>
      </c>
      <c r="B272" s="3" t="s">
        <v>3189</v>
      </c>
      <c r="C272" s="4">
        <v>3</v>
      </c>
      <c r="D272" s="5">
        <v>83.97</v>
      </c>
      <c r="E272" s="4" t="s">
        <v>3190</v>
      </c>
      <c r="F272" s="3" t="s">
        <v>5532</v>
      </c>
      <c r="G272" s="7" t="s">
        <v>6252</v>
      </c>
      <c r="H272" s="3" t="s">
        <v>6280</v>
      </c>
      <c r="I272" s="3" t="s">
        <v>6420</v>
      </c>
      <c r="J272" s="3" t="s">
        <v>5536</v>
      </c>
      <c r="K272" s="3" t="s">
        <v>5727</v>
      </c>
      <c r="L272" s="8" t="str">
        <f>HYPERLINK("http://slimages.macys.com/is/image/MCY/16125471 ")</f>
        <v xml:space="preserve">http://slimages.macys.com/is/image/MCY/16125471 </v>
      </c>
    </row>
    <row r="273" spans="1:12" ht="24.75" x14ac:dyDescent="0.25">
      <c r="A273" s="6" t="s">
        <v>6417</v>
      </c>
      <c r="B273" s="3" t="s">
        <v>6418</v>
      </c>
      <c r="C273" s="4">
        <v>6</v>
      </c>
      <c r="D273" s="5">
        <v>167.94</v>
      </c>
      <c r="E273" s="4" t="s">
        <v>6419</v>
      </c>
      <c r="F273" s="3" t="s">
        <v>6410</v>
      </c>
      <c r="G273" s="7" t="s">
        <v>6252</v>
      </c>
      <c r="H273" s="3" t="s">
        <v>6280</v>
      </c>
      <c r="I273" s="3" t="s">
        <v>6420</v>
      </c>
      <c r="J273" s="3" t="s">
        <v>5536</v>
      </c>
      <c r="K273" s="3" t="s">
        <v>5727</v>
      </c>
      <c r="L273" s="8" t="str">
        <f>HYPERLINK("http://slimages.macys.com/is/image/MCY/15133354 ")</f>
        <v xml:space="preserve">http://slimages.macys.com/is/image/MCY/15133354 </v>
      </c>
    </row>
    <row r="274" spans="1:12" ht="24.75" x14ac:dyDescent="0.25">
      <c r="A274" s="6" t="s">
        <v>3191</v>
      </c>
      <c r="B274" s="3" t="s">
        <v>6418</v>
      </c>
      <c r="C274" s="4">
        <v>3</v>
      </c>
      <c r="D274" s="5">
        <v>83.97</v>
      </c>
      <c r="E274" s="4" t="s">
        <v>6419</v>
      </c>
      <c r="F274" s="3" t="s">
        <v>5532</v>
      </c>
      <c r="G274" s="7" t="s">
        <v>6252</v>
      </c>
      <c r="H274" s="3" t="s">
        <v>6280</v>
      </c>
      <c r="I274" s="3" t="s">
        <v>6420</v>
      </c>
      <c r="J274" s="3" t="s">
        <v>5536</v>
      </c>
      <c r="K274" s="3" t="s">
        <v>5727</v>
      </c>
      <c r="L274" s="8" t="str">
        <f>HYPERLINK("http://slimages.macys.com/is/image/MCY/15133354 ")</f>
        <v xml:space="preserve">http://slimages.macys.com/is/image/MCY/15133354 </v>
      </c>
    </row>
    <row r="275" spans="1:12" ht="24.75" x14ac:dyDescent="0.25">
      <c r="A275" s="6" t="s">
        <v>3192</v>
      </c>
      <c r="B275" s="3" t="s">
        <v>6436</v>
      </c>
      <c r="C275" s="4">
        <v>5</v>
      </c>
      <c r="D275" s="5">
        <v>139.94999999999999</v>
      </c>
      <c r="E275" s="4" t="s">
        <v>6437</v>
      </c>
      <c r="F275" s="3" t="s">
        <v>6983</v>
      </c>
      <c r="G275" s="7" t="s">
        <v>6252</v>
      </c>
      <c r="H275" s="3" t="s">
        <v>6280</v>
      </c>
      <c r="I275" s="3" t="s">
        <v>6420</v>
      </c>
      <c r="J275" s="3" t="s">
        <v>5536</v>
      </c>
      <c r="K275" s="3" t="s">
        <v>5727</v>
      </c>
      <c r="L275" s="8" t="str">
        <f>HYPERLINK("http://slimages.macys.com/is/image/MCY/15900446 ")</f>
        <v xml:space="preserve">http://slimages.macys.com/is/image/MCY/15900446 </v>
      </c>
    </row>
    <row r="276" spans="1:12" ht="24.75" x14ac:dyDescent="0.25">
      <c r="A276" s="6" t="s">
        <v>3193</v>
      </c>
      <c r="B276" s="3" t="s">
        <v>6425</v>
      </c>
      <c r="C276" s="4">
        <v>2</v>
      </c>
      <c r="D276" s="5">
        <v>55.98</v>
      </c>
      <c r="E276" s="4" t="s">
        <v>6426</v>
      </c>
      <c r="F276" s="3" t="s">
        <v>5625</v>
      </c>
      <c r="G276" s="7" t="s">
        <v>6252</v>
      </c>
      <c r="H276" s="3" t="s">
        <v>6280</v>
      </c>
      <c r="I276" s="3" t="s">
        <v>6420</v>
      </c>
      <c r="J276" s="3" t="s">
        <v>5536</v>
      </c>
      <c r="K276" s="3" t="s">
        <v>5727</v>
      </c>
      <c r="L276" s="8" t="str">
        <f>HYPERLINK("http://slimages.macys.com/is/image/MCY/16125170 ")</f>
        <v xml:space="preserve">http://slimages.macys.com/is/image/MCY/16125170 </v>
      </c>
    </row>
    <row r="277" spans="1:12" ht="24.75" x14ac:dyDescent="0.25">
      <c r="A277" s="6" t="s">
        <v>3194</v>
      </c>
      <c r="B277" s="3" t="s">
        <v>6436</v>
      </c>
      <c r="C277" s="4">
        <v>1</v>
      </c>
      <c r="D277" s="5">
        <v>27.99</v>
      </c>
      <c r="E277" s="4" t="s">
        <v>6437</v>
      </c>
      <c r="F277" s="3" t="s">
        <v>6410</v>
      </c>
      <c r="G277" s="7" t="s">
        <v>6252</v>
      </c>
      <c r="H277" s="3" t="s">
        <v>6280</v>
      </c>
      <c r="I277" s="3" t="s">
        <v>6420</v>
      </c>
      <c r="J277" s="3" t="s">
        <v>5536</v>
      </c>
      <c r="K277" s="3" t="s">
        <v>5727</v>
      </c>
      <c r="L277" s="8" t="str">
        <f>HYPERLINK("http://slimages.macys.com/is/image/MCY/15900446 ")</f>
        <v xml:space="preserve">http://slimages.macys.com/is/image/MCY/15900446 </v>
      </c>
    </row>
    <row r="278" spans="1:12" ht="24.75" x14ac:dyDescent="0.25">
      <c r="A278" s="6" t="s">
        <v>3195</v>
      </c>
      <c r="B278" s="3" t="s">
        <v>6425</v>
      </c>
      <c r="C278" s="4">
        <v>1</v>
      </c>
      <c r="D278" s="5">
        <v>27.99</v>
      </c>
      <c r="E278" s="4" t="s">
        <v>6426</v>
      </c>
      <c r="F278" s="3" t="s">
        <v>5661</v>
      </c>
      <c r="G278" s="7" t="s">
        <v>6252</v>
      </c>
      <c r="H278" s="3" t="s">
        <v>6280</v>
      </c>
      <c r="I278" s="3" t="s">
        <v>6420</v>
      </c>
      <c r="J278" s="3" t="s">
        <v>5536</v>
      </c>
      <c r="K278" s="3" t="s">
        <v>5727</v>
      </c>
      <c r="L278" s="8" t="str">
        <f>HYPERLINK("http://slimages.macys.com/is/image/MCY/16125170 ")</f>
        <v xml:space="preserve">http://slimages.macys.com/is/image/MCY/16125170 </v>
      </c>
    </row>
    <row r="279" spans="1:12" ht="24.75" x14ac:dyDescent="0.25">
      <c r="A279" s="6" t="s">
        <v>3196</v>
      </c>
      <c r="B279" s="3" t="s">
        <v>6436</v>
      </c>
      <c r="C279" s="4">
        <v>1</v>
      </c>
      <c r="D279" s="5">
        <v>27.99</v>
      </c>
      <c r="E279" s="4" t="s">
        <v>6437</v>
      </c>
      <c r="F279" s="3" t="s">
        <v>3197</v>
      </c>
      <c r="G279" s="7" t="s">
        <v>6252</v>
      </c>
      <c r="H279" s="3" t="s">
        <v>6280</v>
      </c>
      <c r="I279" s="3" t="s">
        <v>6420</v>
      </c>
      <c r="J279" s="3" t="s">
        <v>5536</v>
      </c>
      <c r="K279" s="3" t="s">
        <v>5727</v>
      </c>
      <c r="L279" s="8" t="str">
        <f>HYPERLINK("http://slimages.macys.com/is/image/MCY/15900446 ")</f>
        <v xml:space="preserve">http://slimages.macys.com/is/image/MCY/15900446 </v>
      </c>
    </row>
    <row r="280" spans="1:12" ht="24.75" x14ac:dyDescent="0.25">
      <c r="A280" s="6" t="s">
        <v>3198</v>
      </c>
      <c r="B280" s="3" t="s">
        <v>6436</v>
      </c>
      <c r="C280" s="4">
        <v>2</v>
      </c>
      <c r="D280" s="5">
        <v>55.98</v>
      </c>
      <c r="E280" s="4" t="s">
        <v>6437</v>
      </c>
      <c r="F280" s="3" t="s">
        <v>5634</v>
      </c>
      <c r="G280" s="7" t="s">
        <v>6252</v>
      </c>
      <c r="H280" s="3" t="s">
        <v>6280</v>
      </c>
      <c r="I280" s="3" t="s">
        <v>6420</v>
      </c>
      <c r="J280" s="3" t="s">
        <v>5536</v>
      </c>
      <c r="K280" s="3" t="s">
        <v>5727</v>
      </c>
      <c r="L280" s="8" t="str">
        <f>HYPERLINK("http://slimages.macys.com/is/image/MCY/15900446 ")</f>
        <v xml:space="preserve">http://slimages.macys.com/is/image/MCY/15900446 </v>
      </c>
    </row>
    <row r="281" spans="1:12" ht="24.75" x14ac:dyDescent="0.25">
      <c r="A281" s="6" t="s">
        <v>3199</v>
      </c>
      <c r="B281" s="3" t="s">
        <v>3189</v>
      </c>
      <c r="C281" s="4">
        <v>1</v>
      </c>
      <c r="D281" s="5">
        <v>27.99</v>
      </c>
      <c r="E281" s="4" t="s">
        <v>3190</v>
      </c>
      <c r="F281" s="3" t="s">
        <v>5610</v>
      </c>
      <c r="G281" s="7" t="s">
        <v>6252</v>
      </c>
      <c r="H281" s="3" t="s">
        <v>6280</v>
      </c>
      <c r="I281" s="3" t="s">
        <v>6420</v>
      </c>
      <c r="J281" s="3" t="s">
        <v>5536</v>
      </c>
      <c r="K281" s="3" t="s">
        <v>5727</v>
      </c>
      <c r="L281" s="8" t="str">
        <f>HYPERLINK("http://slimages.macys.com/is/image/MCY/16125471 ")</f>
        <v xml:space="preserve">http://slimages.macys.com/is/image/MCY/16125471 </v>
      </c>
    </row>
    <row r="282" spans="1:12" ht="24.75" x14ac:dyDescent="0.25">
      <c r="A282" s="6" t="s">
        <v>6435</v>
      </c>
      <c r="B282" s="3" t="s">
        <v>6436</v>
      </c>
      <c r="C282" s="4">
        <v>7</v>
      </c>
      <c r="D282" s="5">
        <v>195.93</v>
      </c>
      <c r="E282" s="4" t="s">
        <v>6437</v>
      </c>
      <c r="F282" s="3" t="s">
        <v>5532</v>
      </c>
      <c r="G282" s="7" t="s">
        <v>6252</v>
      </c>
      <c r="H282" s="3" t="s">
        <v>6280</v>
      </c>
      <c r="I282" s="3" t="s">
        <v>6420</v>
      </c>
      <c r="J282" s="3" t="s">
        <v>5536</v>
      </c>
      <c r="K282" s="3" t="s">
        <v>5727</v>
      </c>
      <c r="L282" s="8" t="str">
        <f>HYPERLINK("http://slimages.macys.com/is/image/MCY/15900446 ")</f>
        <v xml:space="preserve">http://slimages.macys.com/is/image/MCY/15900446 </v>
      </c>
    </row>
    <row r="283" spans="1:12" ht="24.75" x14ac:dyDescent="0.25">
      <c r="A283" s="6" t="s">
        <v>6461</v>
      </c>
      <c r="B283" s="3" t="s">
        <v>6452</v>
      </c>
      <c r="C283" s="4">
        <v>1</v>
      </c>
      <c r="D283" s="5">
        <v>27.99</v>
      </c>
      <c r="E283" s="4" t="s">
        <v>6453</v>
      </c>
      <c r="F283" s="3" t="s">
        <v>6300</v>
      </c>
      <c r="G283" s="7" t="s">
        <v>6252</v>
      </c>
      <c r="H283" s="3" t="s">
        <v>6280</v>
      </c>
      <c r="I283" s="3" t="s">
        <v>6420</v>
      </c>
      <c r="J283" s="3" t="s">
        <v>5536</v>
      </c>
      <c r="K283" s="3" t="s">
        <v>5727</v>
      </c>
      <c r="L283" s="8" t="str">
        <f>HYPERLINK("http://slimages.macys.com/is/image/MCY/16125391 ")</f>
        <v xml:space="preserve">http://slimages.macys.com/is/image/MCY/16125391 </v>
      </c>
    </row>
    <row r="284" spans="1:12" ht="24.75" x14ac:dyDescent="0.25">
      <c r="A284" s="6" t="s">
        <v>3200</v>
      </c>
      <c r="B284" s="3" t="s">
        <v>6471</v>
      </c>
      <c r="C284" s="4">
        <v>1</v>
      </c>
      <c r="D284" s="5">
        <v>23</v>
      </c>
      <c r="E284" s="4" t="s">
        <v>6472</v>
      </c>
      <c r="F284" s="3" t="s">
        <v>5532</v>
      </c>
      <c r="G284" s="7" t="s">
        <v>5766</v>
      </c>
      <c r="H284" s="3" t="s">
        <v>5825</v>
      </c>
      <c r="I284" s="3" t="s">
        <v>5826</v>
      </c>
      <c r="J284" s="3" t="s">
        <v>5536</v>
      </c>
      <c r="K284" s="3" t="s">
        <v>5594</v>
      </c>
      <c r="L284" s="8" t="str">
        <f>HYPERLINK("http://slimages.macys.com/is/image/MCY/10267363 ")</f>
        <v xml:space="preserve">http://slimages.macys.com/is/image/MCY/10267363 </v>
      </c>
    </row>
    <row r="285" spans="1:12" ht="24.75" x14ac:dyDescent="0.25">
      <c r="A285" s="6" t="s">
        <v>3201</v>
      </c>
      <c r="B285" s="3" t="s">
        <v>3202</v>
      </c>
      <c r="C285" s="4">
        <v>1</v>
      </c>
      <c r="D285" s="5">
        <v>23</v>
      </c>
      <c r="E285" s="4" t="s">
        <v>3203</v>
      </c>
      <c r="F285" s="3" t="s">
        <v>5661</v>
      </c>
      <c r="G285" s="7" t="s">
        <v>5762</v>
      </c>
      <c r="H285" s="3" t="s">
        <v>5825</v>
      </c>
      <c r="I285" s="3" t="s">
        <v>5826</v>
      </c>
      <c r="J285" s="3" t="s">
        <v>5536</v>
      </c>
      <c r="K285" s="3" t="s">
        <v>5594</v>
      </c>
      <c r="L285" s="8" t="str">
        <f>HYPERLINK("http://slimages.macys.com/is/image/MCY/10267363 ")</f>
        <v xml:space="preserve">http://slimages.macys.com/is/image/MCY/10267363 </v>
      </c>
    </row>
    <row r="286" spans="1:12" ht="24.75" x14ac:dyDescent="0.25">
      <c r="A286" s="6" t="s">
        <v>3204</v>
      </c>
      <c r="B286" s="3" t="s">
        <v>3205</v>
      </c>
      <c r="C286" s="4">
        <v>1</v>
      </c>
      <c r="D286" s="5">
        <v>23</v>
      </c>
      <c r="E286" s="4" t="s">
        <v>3206</v>
      </c>
      <c r="F286" s="3" t="s">
        <v>5661</v>
      </c>
      <c r="G286" s="7"/>
      <c r="H286" s="3" t="s">
        <v>5825</v>
      </c>
      <c r="I286" s="3" t="s">
        <v>5826</v>
      </c>
      <c r="J286" s="3" t="s">
        <v>5536</v>
      </c>
      <c r="K286" s="3" t="s">
        <v>5549</v>
      </c>
      <c r="L286" s="8" t="str">
        <f>HYPERLINK("http://slimages.macys.com/is/image/MCY/10267368 ")</f>
        <v xml:space="preserve">http://slimages.macys.com/is/image/MCY/10267368 </v>
      </c>
    </row>
    <row r="287" spans="1:12" ht="24.75" x14ac:dyDescent="0.25">
      <c r="A287" s="6" t="s">
        <v>3207</v>
      </c>
      <c r="B287" s="3" t="s">
        <v>6471</v>
      </c>
      <c r="C287" s="4">
        <v>1</v>
      </c>
      <c r="D287" s="5">
        <v>23</v>
      </c>
      <c r="E287" s="4" t="s">
        <v>6472</v>
      </c>
      <c r="F287" s="3" t="s">
        <v>5532</v>
      </c>
      <c r="G287" s="7"/>
      <c r="H287" s="3" t="s">
        <v>5825</v>
      </c>
      <c r="I287" s="3" t="s">
        <v>5826</v>
      </c>
      <c r="J287" s="3" t="s">
        <v>5536</v>
      </c>
      <c r="K287" s="3" t="s">
        <v>5594</v>
      </c>
      <c r="L287" s="8" t="str">
        <f>HYPERLINK("http://slimages.macys.com/is/image/MCY/10267363 ")</f>
        <v xml:space="preserve">http://slimages.macys.com/is/image/MCY/10267363 </v>
      </c>
    </row>
    <row r="288" spans="1:12" x14ac:dyDescent="0.25">
      <c r="A288" s="6" t="s">
        <v>2397</v>
      </c>
      <c r="B288" s="3" t="s">
        <v>2398</v>
      </c>
      <c r="C288" s="4">
        <v>1</v>
      </c>
      <c r="D288" s="5">
        <v>39.99</v>
      </c>
      <c r="E288" s="4" t="s">
        <v>2399</v>
      </c>
      <c r="F288" s="3" t="s">
        <v>5532</v>
      </c>
      <c r="G288" s="7" t="s">
        <v>5596</v>
      </c>
      <c r="H288" s="3" t="s">
        <v>6065</v>
      </c>
      <c r="I288" s="3" t="s">
        <v>6066</v>
      </c>
      <c r="J288" s="3" t="s">
        <v>5536</v>
      </c>
      <c r="K288" s="3" t="s">
        <v>5549</v>
      </c>
      <c r="L288" s="8" t="str">
        <f>HYPERLINK("http://slimages.macys.com/is/image/MCY/15360954 ")</f>
        <v xml:space="preserve">http://slimages.macys.com/is/image/MCY/15360954 </v>
      </c>
    </row>
    <row r="289" spans="1:12" x14ac:dyDescent="0.25">
      <c r="A289" s="6" t="s">
        <v>3208</v>
      </c>
      <c r="B289" s="3" t="s">
        <v>2398</v>
      </c>
      <c r="C289" s="4">
        <v>1</v>
      </c>
      <c r="D289" s="5">
        <v>39.99</v>
      </c>
      <c r="E289" s="4" t="s">
        <v>2399</v>
      </c>
      <c r="F289" s="3" t="s">
        <v>5532</v>
      </c>
      <c r="G289" s="7" t="s">
        <v>5562</v>
      </c>
      <c r="H289" s="3" t="s">
        <v>6065</v>
      </c>
      <c r="I289" s="3" t="s">
        <v>6066</v>
      </c>
      <c r="J289" s="3" t="s">
        <v>5536</v>
      </c>
      <c r="K289" s="3" t="s">
        <v>5549</v>
      </c>
      <c r="L289" s="8" t="str">
        <f>HYPERLINK("http://slimages.macys.com/is/image/MCY/15360954 ")</f>
        <v xml:space="preserve">http://slimages.macys.com/is/image/MCY/15360954 </v>
      </c>
    </row>
    <row r="290" spans="1:12" x14ac:dyDescent="0.25">
      <c r="A290" s="6" t="s">
        <v>2406</v>
      </c>
      <c r="B290" s="3" t="s">
        <v>2404</v>
      </c>
      <c r="C290" s="4">
        <v>3</v>
      </c>
      <c r="D290" s="5">
        <v>119.97</v>
      </c>
      <c r="E290" s="4" t="s">
        <v>2405</v>
      </c>
      <c r="F290" s="3" t="s">
        <v>5783</v>
      </c>
      <c r="G290" s="7" t="s">
        <v>5596</v>
      </c>
      <c r="H290" s="3" t="s">
        <v>6065</v>
      </c>
      <c r="I290" s="3" t="s">
        <v>6066</v>
      </c>
      <c r="J290" s="3" t="s">
        <v>5536</v>
      </c>
      <c r="K290" s="3" t="s">
        <v>5549</v>
      </c>
      <c r="L290" s="8" t="str">
        <f>HYPERLINK("http://slimages.macys.com/is/image/MCY/15360896 ")</f>
        <v xml:space="preserve">http://slimages.macys.com/is/image/MCY/15360896 </v>
      </c>
    </row>
    <row r="291" spans="1:12" x14ac:dyDescent="0.25">
      <c r="A291" s="6" t="s">
        <v>3209</v>
      </c>
      <c r="B291" s="3" t="s">
        <v>2404</v>
      </c>
      <c r="C291" s="4">
        <v>1</v>
      </c>
      <c r="D291" s="5">
        <v>39.99</v>
      </c>
      <c r="E291" s="4" t="s">
        <v>2405</v>
      </c>
      <c r="F291" s="3" t="s">
        <v>5783</v>
      </c>
      <c r="G291" s="7" t="s">
        <v>5598</v>
      </c>
      <c r="H291" s="3" t="s">
        <v>6065</v>
      </c>
      <c r="I291" s="3" t="s">
        <v>6066</v>
      </c>
      <c r="J291" s="3" t="s">
        <v>5536</v>
      </c>
      <c r="K291" s="3" t="s">
        <v>5549</v>
      </c>
      <c r="L291" s="8" t="str">
        <f>HYPERLINK("http://slimages.macys.com/is/image/MCY/15360896 ")</f>
        <v xml:space="preserve">http://slimages.macys.com/is/image/MCY/15360896 </v>
      </c>
    </row>
    <row r="292" spans="1:12" ht="24.75" x14ac:dyDescent="0.25">
      <c r="A292" s="6" t="s">
        <v>3210</v>
      </c>
      <c r="B292" s="3" t="s">
        <v>3211</v>
      </c>
      <c r="C292" s="4">
        <v>1</v>
      </c>
      <c r="D292" s="5">
        <v>24.99</v>
      </c>
      <c r="E292" s="4" t="s">
        <v>3212</v>
      </c>
      <c r="F292" s="3" t="s">
        <v>5625</v>
      </c>
      <c r="G292" s="7"/>
      <c r="H292" s="3" t="s">
        <v>6280</v>
      </c>
      <c r="I292" s="3" t="s">
        <v>4889</v>
      </c>
      <c r="J292" s="3" t="s">
        <v>5536</v>
      </c>
      <c r="K292" s="3" t="s">
        <v>4943</v>
      </c>
      <c r="L292" s="8" t="str">
        <f>HYPERLINK("http://slimages.macys.com/is/image/MCY/16067030 ")</f>
        <v xml:space="preserve">http://slimages.macys.com/is/image/MCY/16067030 </v>
      </c>
    </row>
    <row r="293" spans="1:12" x14ac:dyDescent="0.25">
      <c r="A293" s="6" t="s">
        <v>3213</v>
      </c>
      <c r="B293" s="3" t="s">
        <v>3214</v>
      </c>
      <c r="C293" s="4">
        <v>1</v>
      </c>
      <c r="D293" s="5">
        <v>17.989999999999998</v>
      </c>
      <c r="E293" s="4" t="s">
        <v>3215</v>
      </c>
      <c r="F293" s="3" t="s">
        <v>6300</v>
      </c>
      <c r="G293" s="7" t="s">
        <v>5562</v>
      </c>
      <c r="H293" s="3" t="s">
        <v>5606</v>
      </c>
      <c r="I293" s="3" t="s">
        <v>5914</v>
      </c>
      <c r="J293" s="3" t="s">
        <v>5536</v>
      </c>
      <c r="K293" s="3" t="s">
        <v>5549</v>
      </c>
      <c r="L293" s="8" t="str">
        <f>HYPERLINK("http://slimages.macys.com/is/image/MCY/15119120 ")</f>
        <v xml:space="preserve">http://slimages.macys.com/is/image/MCY/15119120 </v>
      </c>
    </row>
    <row r="294" spans="1:12" ht="24.75" x14ac:dyDescent="0.25">
      <c r="A294" s="6" t="s">
        <v>3216</v>
      </c>
      <c r="B294" s="3" t="s">
        <v>3217</v>
      </c>
      <c r="C294" s="4">
        <v>1</v>
      </c>
      <c r="D294" s="5">
        <v>24.99</v>
      </c>
      <c r="E294" s="4" t="s">
        <v>3218</v>
      </c>
      <c r="F294" s="3" t="s">
        <v>5803</v>
      </c>
      <c r="G294" s="7"/>
      <c r="H294" s="3" t="s">
        <v>6280</v>
      </c>
      <c r="I294" s="3" t="s">
        <v>4889</v>
      </c>
      <c r="J294" s="3" t="s">
        <v>5536</v>
      </c>
      <c r="K294" s="3" t="s">
        <v>6295</v>
      </c>
      <c r="L294" s="8" t="str">
        <f>HYPERLINK("http://slimages.macys.com/is/image/MCY/16066978 ")</f>
        <v xml:space="preserve">http://slimages.macys.com/is/image/MCY/16066978 </v>
      </c>
    </row>
    <row r="295" spans="1:12" ht="24.75" x14ac:dyDescent="0.25">
      <c r="A295" s="6" t="s">
        <v>3219</v>
      </c>
      <c r="B295" s="3" t="s">
        <v>5051</v>
      </c>
      <c r="C295" s="4">
        <v>1</v>
      </c>
      <c r="D295" s="5">
        <v>25</v>
      </c>
      <c r="E295" s="4" t="s">
        <v>5052</v>
      </c>
      <c r="F295" s="3" t="s">
        <v>5532</v>
      </c>
      <c r="G295" s="7"/>
      <c r="H295" s="3" t="s">
        <v>5825</v>
      </c>
      <c r="I295" s="3" t="s">
        <v>6265</v>
      </c>
      <c r="J295" s="3" t="s">
        <v>5536</v>
      </c>
      <c r="K295" s="3" t="s">
        <v>6266</v>
      </c>
      <c r="L295" s="8" t="str">
        <f>HYPERLINK("http://slimages.macys.com/is/image/MCY/15216742 ")</f>
        <v xml:space="preserve">http://slimages.macys.com/is/image/MCY/15216742 </v>
      </c>
    </row>
    <row r="296" spans="1:12" x14ac:dyDescent="0.25">
      <c r="A296" s="6" t="s">
        <v>3220</v>
      </c>
      <c r="B296" s="3" t="s">
        <v>3221</v>
      </c>
      <c r="C296" s="4">
        <v>1</v>
      </c>
      <c r="D296" s="5">
        <v>37.99</v>
      </c>
      <c r="E296" s="4" t="s">
        <v>3222</v>
      </c>
      <c r="F296" s="3" t="s">
        <v>5532</v>
      </c>
      <c r="G296" s="7" t="s">
        <v>5560</v>
      </c>
      <c r="H296" s="3" t="s">
        <v>5978</v>
      </c>
      <c r="I296" s="3" t="s">
        <v>5979</v>
      </c>
      <c r="J296" s="3" t="s">
        <v>5536</v>
      </c>
      <c r="K296" s="3" t="s">
        <v>5594</v>
      </c>
      <c r="L296" s="8" t="str">
        <f>HYPERLINK("http://slimages.macys.com/is/image/MCY/15899642 ")</f>
        <v xml:space="preserve">http://slimages.macys.com/is/image/MCY/15899642 </v>
      </c>
    </row>
    <row r="297" spans="1:12" ht="24.75" x14ac:dyDescent="0.25">
      <c r="A297" s="6" t="s">
        <v>3223</v>
      </c>
      <c r="B297" s="3" t="s">
        <v>6521</v>
      </c>
      <c r="C297" s="4">
        <v>1</v>
      </c>
      <c r="D297" s="5">
        <v>32.99</v>
      </c>
      <c r="E297" s="4">
        <v>100002133</v>
      </c>
      <c r="F297" s="3" t="s">
        <v>5578</v>
      </c>
      <c r="G297" s="7" t="s">
        <v>6626</v>
      </c>
      <c r="H297" s="3" t="s">
        <v>6522</v>
      </c>
      <c r="I297" s="3" t="s">
        <v>6523</v>
      </c>
      <c r="J297" s="3" t="s">
        <v>5536</v>
      </c>
      <c r="K297" s="3" t="s">
        <v>5727</v>
      </c>
      <c r="L297" s="8" t="str">
        <f>HYPERLINK("http://slimages.macys.com/is/image/MCY/11399941 ")</f>
        <v xml:space="preserve">http://slimages.macys.com/is/image/MCY/11399941 </v>
      </c>
    </row>
    <row r="298" spans="1:12" ht="24.75" x14ac:dyDescent="0.25">
      <c r="A298" s="6" t="s">
        <v>3224</v>
      </c>
      <c r="B298" s="3" t="s">
        <v>6546</v>
      </c>
      <c r="C298" s="4">
        <v>3</v>
      </c>
      <c r="D298" s="5">
        <v>78</v>
      </c>
      <c r="E298" s="4" t="s">
        <v>6547</v>
      </c>
      <c r="F298" s="3" t="s">
        <v>5540</v>
      </c>
      <c r="G298" s="7" t="s">
        <v>5596</v>
      </c>
      <c r="H298" s="3" t="s">
        <v>6492</v>
      </c>
      <c r="I298" s="3" t="s">
        <v>6548</v>
      </c>
      <c r="J298" s="3" t="s">
        <v>5536</v>
      </c>
      <c r="K298" s="3" t="s">
        <v>5549</v>
      </c>
      <c r="L298" s="8" t="str">
        <f>HYPERLINK("http://slimages.macys.com/is/image/MCY/15360514 ")</f>
        <v xml:space="preserve">http://slimages.macys.com/is/image/MCY/15360514 </v>
      </c>
    </row>
    <row r="299" spans="1:12" ht="24.75" x14ac:dyDescent="0.25">
      <c r="A299" s="6" t="s">
        <v>3225</v>
      </c>
      <c r="B299" s="3" t="s">
        <v>6273</v>
      </c>
      <c r="C299" s="4">
        <v>1</v>
      </c>
      <c r="D299" s="5">
        <v>25</v>
      </c>
      <c r="E299" s="4" t="s">
        <v>6274</v>
      </c>
      <c r="F299" s="3" t="s">
        <v>5745</v>
      </c>
      <c r="G299" s="7"/>
      <c r="H299" s="3" t="s">
        <v>5825</v>
      </c>
      <c r="I299" s="3" t="s">
        <v>6265</v>
      </c>
      <c r="J299" s="3" t="s">
        <v>5536</v>
      </c>
      <c r="K299" s="3" t="s">
        <v>6266</v>
      </c>
      <c r="L299" s="8" t="str">
        <f>HYPERLINK("http://slimages.macys.com/is/image/MCY/9710602 ")</f>
        <v xml:space="preserve">http://slimages.macys.com/is/image/MCY/9710602 </v>
      </c>
    </row>
    <row r="300" spans="1:12" ht="24.75" x14ac:dyDescent="0.25">
      <c r="A300" s="6" t="s">
        <v>6557</v>
      </c>
      <c r="B300" s="3" t="s">
        <v>6558</v>
      </c>
      <c r="C300" s="4">
        <v>1</v>
      </c>
      <c r="D300" s="5">
        <v>34.99</v>
      </c>
      <c r="E300" s="4" t="s">
        <v>6559</v>
      </c>
      <c r="F300" s="3" t="s">
        <v>6075</v>
      </c>
      <c r="G300" s="7" t="s">
        <v>5598</v>
      </c>
      <c r="H300" s="3" t="s">
        <v>5978</v>
      </c>
      <c r="I300" s="3" t="s">
        <v>5979</v>
      </c>
      <c r="J300" s="3" t="s">
        <v>5536</v>
      </c>
      <c r="K300" s="3" t="s">
        <v>5864</v>
      </c>
      <c r="L300" s="8" t="str">
        <f>HYPERLINK("http://slimages.macys.com/is/image/MCY/15250545 ")</f>
        <v xml:space="preserve">http://slimages.macys.com/is/image/MCY/15250545 </v>
      </c>
    </row>
    <row r="301" spans="1:12" ht="36.75" x14ac:dyDescent="0.25">
      <c r="A301" s="6" t="s">
        <v>3226</v>
      </c>
      <c r="B301" s="3" t="s">
        <v>3227</v>
      </c>
      <c r="C301" s="4">
        <v>1</v>
      </c>
      <c r="D301" s="5">
        <v>28</v>
      </c>
      <c r="E301" s="4">
        <v>18092</v>
      </c>
      <c r="F301" s="3" t="s">
        <v>5540</v>
      </c>
      <c r="G301" s="7" t="s">
        <v>6666</v>
      </c>
      <c r="H301" s="3" t="s">
        <v>5842</v>
      </c>
      <c r="I301" s="3" t="s">
        <v>3228</v>
      </c>
      <c r="J301" s="3" t="s">
        <v>5536</v>
      </c>
      <c r="K301" s="3" t="s">
        <v>3229</v>
      </c>
      <c r="L301" s="8" t="str">
        <f>HYPERLINK("http://slimages.macys.com/is/image/MCY/9856755 ")</f>
        <v xml:space="preserve">http://slimages.macys.com/is/image/MCY/9856755 </v>
      </c>
    </row>
    <row r="302" spans="1:12" ht="24.75" x14ac:dyDescent="0.25">
      <c r="A302" s="6" t="s">
        <v>5069</v>
      </c>
      <c r="B302" s="3" t="s">
        <v>5067</v>
      </c>
      <c r="C302" s="4">
        <v>2</v>
      </c>
      <c r="D302" s="5">
        <v>46</v>
      </c>
      <c r="E302" s="4">
        <v>100019475</v>
      </c>
      <c r="F302" s="3" t="s">
        <v>5532</v>
      </c>
      <c r="G302" s="7" t="s">
        <v>5766</v>
      </c>
      <c r="H302" s="3" t="s">
        <v>5825</v>
      </c>
      <c r="I302" s="3" t="s">
        <v>5826</v>
      </c>
      <c r="J302" s="3" t="s">
        <v>5536</v>
      </c>
      <c r="K302" s="3" t="s">
        <v>5594</v>
      </c>
      <c r="L302" s="8" t="str">
        <f>HYPERLINK("http://slimages.macys.com/is/image/MCY/9512821 ")</f>
        <v xml:space="preserve">http://slimages.macys.com/is/image/MCY/9512821 </v>
      </c>
    </row>
    <row r="303" spans="1:12" ht="24.75" x14ac:dyDescent="0.25">
      <c r="A303" s="6" t="s">
        <v>3230</v>
      </c>
      <c r="B303" s="3" t="s">
        <v>3231</v>
      </c>
      <c r="C303" s="4">
        <v>1</v>
      </c>
      <c r="D303" s="5">
        <v>24</v>
      </c>
      <c r="E303" s="4" t="s">
        <v>3232</v>
      </c>
      <c r="F303" s="3" t="s">
        <v>5661</v>
      </c>
      <c r="G303" s="7"/>
      <c r="H303" s="3" t="s">
        <v>5825</v>
      </c>
      <c r="I303" s="3" t="s">
        <v>6673</v>
      </c>
      <c r="J303" s="3" t="s">
        <v>5536</v>
      </c>
      <c r="K303" s="3" t="s">
        <v>5594</v>
      </c>
      <c r="L303" s="8" t="str">
        <f>HYPERLINK("http://slimages.macys.com/is/image/MCY/14913976 ")</f>
        <v xml:space="preserve">http://slimages.macys.com/is/image/MCY/14913976 </v>
      </c>
    </row>
    <row r="304" spans="1:12" ht="24.75" x14ac:dyDescent="0.25">
      <c r="A304" s="6" t="s">
        <v>3233</v>
      </c>
      <c r="B304" s="3" t="s">
        <v>3231</v>
      </c>
      <c r="C304" s="4">
        <v>1</v>
      </c>
      <c r="D304" s="5">
        <v>24</v>
      </c>
      <c r="E304" s="4" t="s">
        <v>3232</v>
      </c>
      <c r="F304" s="3" t="s">
        <v>5661</v>
      </c>
      <c r="G304" s="7"/>
      <c r="H304" s="3" t="s">
        <v>5825</v>
      </c>
      <c r="I304" s="3" t="s">
        <v>6673</v>
      </c>
      <c r="J304" s="3" t="s">
        <v>5536</v>
      </c>
      <c r="K304" s="3" t="s">
        <v>5594</v>
      </c>
      <c r="L304" s="8" t="str">
        <f>HYPERLINK("http://slimages.macys.com/is/image/MCY/14913976 ")</f>
        <v xml:space="preserve">http://slimages.macys.com/is/image/MCY/14913976 </v>
      </c>
    </row>
    <row r="305" spans="1:12" ht="24.75" x14ac:dyDescent="0.25">
      <c r="A305" s="6" t="s">
        <v>3234</v>
      </c>
      <c r="B305" s="3" t="s">
        <v>3235</v>
      </c>
      <c r="C305" s="4">
        <v>1</v>
      </c>
      <c r="D305" s="5">
        <v>23</v>
      </c>
      <c r="E305" s="4" t="s">
        <v>3236</v>
      </c>
      <c r="F305" s="3" t="s">
        <v>5578</v>
      </c>
      <c r="G305" s="7" t="s">
        <v>5766</v>
      </c>
      <c r="H305" s="3" t="s">
        <v>5825</v>
      </c>
      <c r="I305" s="3" t="s">
        <v>5826</v>
      </c>
      <c r="J305" s="3" t="s">
        <v>5536</v>
      </c>
      <c r="K305" s="3" t="s">
        <v>5549</v>
      </c>
      <c r="L305" s="8" t="str">
        <f>HYPERLINK("http://slimages.macys.com/is/image/MCY/10267374 ")</f>
        <v xml:space="preserve">http://slimages.macys.com/is/image/MCY/10267374 </v>
      </c>
    </row>
    <row r="306" spans="1:12" ht="24.75" x14ac:dyDescent="0.25">
      <c r="A306" s="6" t="s">
        <v>3237</v>
      </c>
      <c r="B306" s="3" t="s">
        <v>6568</v>
      </c>
      <c r="C306" s="4">
        <v>1</v>
      </c>
      <c r="D306" s="5">
        <v>23</v>
      </c>
      <c r="E306" s="4">
        <v>100019472</v>
      </c>
      <c r="F306" s="3" t="s">
        <v>5783</v>
      </c>
      <c r="G306" s="7" t="s">
        <v>5768</v>
      </c>
      <c r="H306" s="3" t="s">
        <v>5825</v>
      </c>
      <c r="I306" s="3" t="s">
        <v>5826</v>
      </c>
      <c r="J306" s="3" t="s">
        <v>5536</v>
      </c>
      <c r="K306" s="3" t="s">
        <v>5594</v>
      </c>
      <c r="L306" s="8" t="str">
        <f>HYPERLINK("http://slimages.macys.com/is/image/MCY/9470798 ")</f>
        <v xml:space="preserve">http://slimages.macys.com/is/image/MCY/9470798 </v>
      </c>
    </row>
    <row r="307" spans="1:12" x14ac:dyDescent="0.25">
      <c r="A307" s="6" t="s">
        <v>3238</v>
      </c>
      <c r="B307" s="3" t="s">
        <v>3239</v>
      </c>
      <c r="C307" s="4">
        <v>1</v>
      </c>
      <c r="D307" s="5">
        <v>39.5</v>
      </c>
      <c r="E307" s="4">
        <v>100003042</v>
      </c>
      <c r="F307" s="3" t="s">
        <v>5532</v>
      </c>
      <c r="G307" s="7" t="s">
        <v>5533</v>
      </c>
      <c r="H307" s="3" t="s">
        <v>5585</v>
      </c>
      <c r="I307" s="3" t="s">
        <v>5734</v>
      </c>
      <c r="J307" s="3" t="s">
        <v>5536</v>
      </c>
      <c r="K307" s="3" t="s">
        <v>5594</v>
      </c>
      <c r="L307" s="8" t="str">
        <f>HYPERLINK("http://slimages.macys.com/is/image/MCY/9144350 ")</f>
        <v xml:space="preserve">http://slimages.macys.com/is/image/MCY/9144350 </v>
      </c>
    </row>
    <row r="308" spans="1:12" ht="24.75" x14ac:dyDescent="0.25">
      <c r="A308" s="6" t="s">
        <v>3240</v>
      </c>
      <c r="B308" s="3" t="s">
        <v>6575</v>
      </c>
      <c r="C308" s="4">
        <v>1</v>
      </c>
      <c r="D308" s="5">
        <v>23</v>
      </c>
      <c r="E308" s="4" t="s">
        <v>6576</v>
      </c>
      <c r="F308" s="3" t="s">
        <v>5532</v>
      </c>
      <c r="G308" s="7" t="s">
        <v>5764</v>
      </c>
      <c r="H308" s="3" t="s">
        <v>5825</v>
      </c>
      <c r="I308" s="3" t="s">
        <v>5826</v>
      </c>
      <c r="J308" s="3" t="s">
        <v>5536</v>
      </c>
      <c r="K308" s="3" t="s">
        <v>5549</v>
      </c>
      <c r="L308" s="8" t="str">
        <f>HYPERLINK("http://slimages.macys.com/is/image/MCY/14532354 ")</f>
        <v xml:space="preserve">http://slimages.macys.com/is/image/MCY/14532354 </v>
      </c>
    </row>
    <row r="309" spans="1:12" ht="24.75" x14ac:dyDescent="0.25">
      <c r="A309" s="6" t="s">
        <v>3241</v>
      </c>
      <c r="B309" s="3" t="s">
        <v>6581</v>
      </c>
      <c r="C309" s="4">
        <v>2</v>
      </c>
      <c r="D309" s="5">
        <v>46</v>
      </c>
      <c r="E309" s="4">
        <v>100005324</v>
      </c>
      <c r="F309" s="3" t="s">
        <v>5532</v>
      </c>
      <c r="G309" s="7" t="s">
        <v>6476</v>
      </c>
      <c r="H309" s="3" t="s">
        <v>5825</v>
      </c>
      <c r="I309" s="3" t="s">
        <v>5826</v>
      </c>
      <c r="J309" s="3" t="s">
        <v>5536</v>
      </c>
      <c r="K309" s="3" t="s">
        <v>5594</v>
      </c>
      <c r="L309" s="8" t="str">
        <f>HYPERLINK("http://slimages.macys.com/is/image/MCY/9267398 ")</f>
        <v xml:space="preserve">http://slimages.macys.com/is/image/MCY/9267398 </v>
      </c>
    </row>
    <row r="310" spans="1:12" ht="24.75" x14ac:dyDescent="0.25">
      <c r="A310" s="6" t="s">
        <v>5078</v>
      </c>
      <c r="B310" s="3" t="s">
        <v>6581</v>
      </c>
      <c r="C310" s="4">
        <v>1</v>
      </c>
      <c r="D310" s="5">
        <v>23</v>
      </c>
      <c r="E310" s="4">
        <v>100005324</v>
      </c>
      <c r="F310" s="3" t="s">
        <v>5532</v>
      </c>
      <c r="G310" s="7" t="s">
        <v>5777</v>
      </c>
      <c r="H310" s="3" t="s">
        <v>5825</v>
      </c>
      <c r="I310" s="3" t="s">
        <v>5826</v>
      </c>
      <c r="J310" s="3" t="s">
        <v>5536</v>
      </c>
      <c r="K310" s="3" t="s">
        <v>5594</v>
      </c>
      <c r="L310" s="8" t="str">
        <f>HYPERLINK("http://slimages.macys.com/is/image/MCY/9267398 ")</f>
        <v xml:space="preserve">http://slimages.macys.com/is/image/MCY/9267398 </v>
      </c>
    </row>
    <row r="311" spans="1:12" ht="24.75" x14ac:dyDescent="0.25">
      <c r="A311" s="6" t="s">
        <v>6596</v>
      </c>
      <c r="B311" s="3" t="s">
        <v>6583</v>
      </c>
      <c r="C311" s="4">
        <v>1</v>
      </c>
      <c r="D311" s="5">
        <v>23</v>
      </c>
      <c r="E311" s="4">
        <v>100019474</v>
      </c>
      <c r="F311" s="3" t="s">
        <v>5532</v>
      </c>
      <c r="G311" s="7" t="s">
        <v>6476</v>
      </c>
      <c r="H311" s="3" t="s">
        <v>5825</v>
      </c>
      <c r="I311" s="3" t="s">
        <v>5826</v>
      </c>
      <c r="J311" s="3" t="s">
        <v>5536</v>
      </c>
      <c r="K311" s="3" t="s">
        <v>5594</v>
      </c>
      <c r="L311" s="8" t="str">
        <f>HYPERLINK("http://slimages.macys.com/is/image/MCY/9758508 ")</f>
        <v xml:space="preserve">http://slimages.macys.com/is/image/MCY/9758508 </v>
      </c>
    </row>
    <row r="312" spans="1:12" ht="24.75" x14ac:dyDescent="0.25">
      <c r="A312" s="6" t="s">
        <v>6590</v>
      </c>
      <c r="B312" s="3" t="s">
        <v>6581</v>
      </c>
      <c r="C312" s="4">
        <v>1</v>
      </c>
      <c r="D312" s="5">
        <v>23</v>
      </c>
      <c r="E312" s="4">
        <v>100005324</v>
      </c>
      <c r="F312" s="3" t="s">
        <v>5532</v>
      </c>
      <c r="G312" s="7" t="s">
        <v>5824</v>
      </c>
      <c r="H312" s="3" t="s">
        <v>5825</v>
      </c>
      <c r="I312" s="3" t="s">
        <v>5826</v>
      </c>
      <c r="J312" s="3" t="s">
        <v>5536</v>
      </c>
      <c r="K312" s="3" t="s">
        <v>5594</v>
      </c>
      <c r="L312" s="8" t="str">
        <f>HYPERLINK("http://slimages.macys.com/is/image/MCY/9267398 ")</f>
        <v xml:space="preserve">http://slimages.macys.com/is/image/MCY/9267398 </v>
      </c>
    </row>
    <row r="313" spans="1:12" ht="24.75" x14ac:dyDescent="0.25">
      <c r="A313" s="6" t="s">
        <v>3242</v>
      </c>
      <c r="B313" s="3" t="s">
        <v>6581</v>
      </c>
      <c r="C313" s="4">
        <v>1</v>
      </c>
      <c r="D313" s="5">
        <v>23</v>
      </c>
      <c r="E313" s="4">
        <v>100005324</v>
      </c>
      <c r="F313" s="3" t="s">
        <v>5532</v>
      </c>
      <c r="G313" s="7" t="s">
        <v>5764</v>
      </c>
      <c r="H313" s="3" t="s">
        <v>5825</v>
      </c>
      <c r="I313" s="3" t="s">
        <v>5826</v>
      </c>
      <c r="J313" s="3" t="s">
        <v>5536</v>
      </c>
      <c r="K313" s="3" t="s">
        <v>5594</v>
      </c>
      <c r="L313" s="8" t="str">
        <f>HYPERLINK("http://slimages.macys.com/is/image/MCY/9267398 ")</f>
        <v xml:space="preserve">http://slimages.macys.com/is/image/MCY/9267398 </v>
      </c>
    </row>
    <row r="314" spans="1:12" ht="24.75" x14ac:dyDescent="0.25">
      <c r="A314" s="6" t="s">
        <v>3243</v>
      </c>
      <c r="B314" s="3" t="s">
        <v>3244</v>
      </c>
      <c r="C314" s="4">
        <v>1</v>
      </c>
      <c r="D314" s="5">
        <v>24</v>
      </c>
      <c r="E314" s="4" t="s">
        <v>3245</v>
      </c>
      <c r="F314" s="3" t="s">
        <v>5578</v>
      </c>
      <c r="G314" s="7"/>
      <c r="H314" s="3" t="s">
        <v>5825</v>
      </c>
      <c r="I314" s="3" t="s">
        <v>6673</v>
      </c>
      <c r="J314" s="3" t="s">
        <v>5536</v>
      </c>
      <c r="K314" s="3" t="s">
        <v>5553</v>
      </c>
      <c r="L314" s="8" t="str">
        <f>HYPERLINK("http://slimages.macys.com/is/image/MCY/8974187 ")</f>
        <v xml:space="preserve">http://slimages.macys.com/is/image/MCY/8974187 </v>
      </c>
    </row>
    <row r="315" spans="1:12" ht="24.75" x14ac:dyDescent="0.25">
      <c r="A315" s="6" t="s">
        <v>3246</v>
      </c>
      <c r="B315" s="3" t="s">
        <v>3247</v>
      </c>
      <c r="C315" s="4">
        <v>1</v>
      </c>
      <c r="D315" s="5">
        <v>24</v>
      </c>
      <c r="E315" s="4" t="s">
        <v>3248</v>
      </c>
      <c r="F315" s="3" t="s">
        <v>6983</v>
      </c>
      <c r="G315" s="7"/>
      <c r="H315" s="3" t="s">
        <v>5825</v>
      </c>
      <c r="I315" s="3" t="s">
        <v>6673</v>
      </c>
      <c r="J315" s="3" t="s">
        <v>5536</v>
      </c>
      <c r="K315" s="3" t="s">
        <v>5553</v>
      </c>
      <c r="L315" s="8" t="str">
        <f>HYPERLINK("http://slimages.macys.com/is/image/MCY/8974187 ")</f>
        <v xml:space="preserve">http://slimages.macys.com/is/image/MCY/8974187 </v>
      </c>
    </row>
    <row r="316" spans="1:12" ht="24.75" x14ac:dyDescent="0.25">
      <c r="A316" s="6" t="s">
        <v>3249</v>
      </c>
      <c r="B316" s="3" t="s">
        <v>3247</v>
      </c>
      <c r="C316" s="4">
        <v>1</v>
      </c>
      <c r="D316" s="5">
        <v>24</v>
      </c>
      <c r="E316" s="4" t="s">
        <v>3248</v>
      </c>
      <c r="F316" s="3" t="s">
        <v>6983</v>
      </c>
      <c r="G316" s="7"/>
      <c r="H316" s="3" t="s">
        <v>5825</v>
      </c>
      <c r="I316" s="3" t="s">
        <v>6673</v>
      </c>
      <c r="J316" s="3" t="s">
        <v>5536</v>
      </c>
      <c r="K316" s="3" t="s">
        <v>5553</v>
      </c>
      <c r="L316" s="8" t="str">
        <f>HYPERLINK("http://slimages.macys.com/is/image/MCY/8974187 ")</f>
        <v xml:space="preserve">http://slimages.macys.com/is/image/MCY/8974187 </v>
      </c>
    </row>
    <row r="317" spans="1:12" ht="24.75" x14ac:dyDescent="0.25">
      <c r="A317" s="6" t="s">
        <v>3250</v>
      </c>
      <c r="B317" s="3" t="s">
        <v>3251</v>
      </c>
      <c r="C317" s="4">
        <v>1</v>
      </c>
      <c r="D317" s="5">
        <v>23.34</v>
      </c>
      <c r="E317" s="4" t="s">
        <v>3252</v>
      </c>
      <c r="F317" s="3" t="s">
        <v>6496</v>
      </c>
      <c r="G317" s="7" t="s">
        <v>5898</v>
      </c>
      <c r="H317" s="3" t="s">
        <v>6280</v>
      </c>
      <c r="I317" s="3" t="s">
        <v>4330</v>
      </c>
      <c r="J317" s="3" t="s">
        <v>5536</v>
      </c>
      <c r="K317" s="3" t="s">
        <v>6303</v>
      </c>
      <c r="L317" s="8" t="str">
        <f>HYPERLINK("http://slimages.macys.com/is/image/MCY/3077234 ")</f>
        <v xml:space="preserve">http://slimages.macys.com/is/image/MCY/3077234 </v>
      </c>
    </row>
    <row r="318" spans="1:12" ht="24.75" x14ac:dyDescent="0.25">
      <c r="A318" s="6" t="s">
        <v>3253</v>
      </c>
      <c r="B318" s="3" t="s">
        <v>3254</v>
      </c>
      <c r="C318" s="4">
        <v>1</v>
      </c>
      <c r="D318" s="5">
        <v>23.34</v>
      </c>
      <c r="E318" s="4" t="s">
        <v>3255</v>
      </c>
      <c r="F318" s="3" t="s">
        <v>5610</v>
      </c>
      <c r="G318" s="7" t="s">
        <v>5898</v>
      </c>
      <c r="H318" s="3" t="s">
        <v>6280</v>
      </c>
      <c r="I318" s="3" t="s">
        <v>4330</v>
      </c>
      <c r="J318" s="3" t="s">
        <v>5536</v>
      </c>
      <c r="K318" s="3" t="s">
        <v>4157</v>
      </c>
      <c r="L318" s="8" t="str">
        <f>HYPERLINK("http://slimages.macys.com/is/image/MCY/15186587 ")</f>
        <v xml:space="preserve">http://slimages.macys.com/is/image/MCY/15186587 </v>
      </c>
    </row>
    <row r="319" spans="1:12" ht="24.75" x14ac:dyDescent="0.25">
      <c r="A319" s="6" t="s">
        <v>2462</v>
      </c>
      <c r="B319" s="3" t="s">
        <v>2463</v>
      </c>
      <c r="C319" s="4">
        <v>1</v>
      </c>
      <c r="D319" s="5">
        <v>23.34</v>
      </c>
      <c r="E319" s="4" t="s">
        <v>2464</v>
      </c>
      <c r="F319" s="3" t="s">
        <v>5754</v>
      </c>
      <c r="G319" s="7" t="s">
        <v>5898</v>
      </c>
      <c r="H319" s="3" t="s">
        <v>6280</v>
      </c>
      <c r="I319" s="3" t="s">
        <v>4330</v>
      </c>
      <c r="J319" s="3" t="s">
        <v>5536</v>
      </c>
      <c r="K319" s="3" t="s">
        <v>6316</v>
      </c>
      <c r="L319" s="8" t="str">
        <f>HYPERLINK("http://slimages.macys.com/is/image/MCY/15196957 ")</f>
        <v xml:space="preserve">http://slimages.macys.com/is/image/MCY/15196957 </v>
      </c>
    </row>
    <row r="320" spans="1:12" ht="24.75" x14ac:dyDescent="0.25">
      <c r="A320" s="6" t="s">
        <v>3256</v>
      </c>
      <c r="B320" s="3" t="s">
        <v>3257</v>
      </c>
      <c r="C320" s="4">
        <v>1</v>
      </c>
      <c r="D320" s="5">
        <v>27.5</v>
      </c>
      <c r="E320" s="4" t="s">
        <v>3258</v>
      </c>
      <c r="F320" s="3" t="s">
        <v>6275</v>
      </c>
      <c r="G320" s="7" t="s">
        <v>5596</v>
      </c>
      <c r="H320" s="3" t="s">
        <v>6026</v>
      </c>
      <c r="I320" s="3" t="s">
        <v>6600</v>
      </c>
      <c r="J320" s="3" t="s">
        <v>5536</v>
      </c>
      <c r="K320" s="3" t="s">
        <v>5727</v>
      </c>
      <c r="L320" s="8" t="str">
        <f>HYPERLINK("http://slimages.macys.com/is/image/MCY/13936246 ")</f>
        <v xml:space="preserve">http://slimages.macys.com/is/image/MCY/13936246 </v>
      </c>
    </row>
    <row r="321" spans="1:12" ht="24.75" x14ac:dyDescent="0.25">
      <c r="A321" s="6" t="s">
        <v>3259</v>
      </c>
      <c r="B321" s="3" t="s">
        <v>2475</v>
      </c>
      <c r="C321" s="4">
        <v>1</v>
      </c>
      <c r="D321" s="5">
        <v>23</v>
      </c>
      <c r="E321" s="4">
        <v>100005305</v>
      </c>
      <c r="F321" s="3" t="s">
        <v>4871</v>
      </c>
      <c r="G321" s="7"/>
      <c r="H321" s="3" t="s">
        <v>5825</v>
      </c>
      <c r="I321" s="3" t="s">
        <v>5826</v>
      </c>
      <c r="J321" s="3" t="s">
        <v>5536</v>
      </c>
      <c r="K321" s="3" t="s">
        <v>5594</v>
      </c>
      <c r="L321" s="8" t="str">
        <f>HYPERLINK("http://slimages.macys.com/is/image/MCY/9228910 ")</f>
        <v xml:space="preserve">http://slimages.macys.com/is/image/MCY/9228910 </v>
      </c>
    </row>
    <row r="322" spans="1:12" x14ac:dyDescent="0.25">
      <c r="A322" s="6" t="s">
        <v>3260</v>
      </c>
      <c r="B322" s="3" t="s">
        <v>3261</v>
      </c>
      <c r="C322" s="4">
        <v>1</v>
      </c>
      <c r="D322" s="5">
        <v>29.99</v>
      </c>
      <c r="E322" s="4" t="s">
        <v>3262</v>
      </c>
      <c r="F322" s="3" t="s">
        <v>7189</v>
      </c>
      <c r="G322" s="7" t="s">
        <v>5560</v>
      </c>
      <c r="H322" s="3" t="s">
        <v>6065</v>
      </c>
      <c r="I322" s="3" t="s">
        <v>6066</v>
      </c>
      <c r="J322" s="3" t="s">
        <v>5536</v>
      </c>
      <c r="K322" s="3" t="s">
        <v>3263</v>
      </c>
      <c r="L322" s="8" t="str">
        <f>HYPERLINK("http://slimages.macys.com/is/image/MCY/13894131 ")</f>
        <v xml:space="preserve">http://slimages.macys.com/is/image/MCY/13894131 </v>
      </c>
    </row>
    <row r="323" spans="1:12" x14ac:dyDescent="0.25">
      <c r="A323" s="6" t="s">
        <v>3264</v>
      </c>
      <c r="B323" s="3" t="s">
        <v>3261</v>
      </c>
      <c r="C323" s="4">
        <v>1</v>
      </c>
      <c r="D323" s="5">
        <v>29.99</v>
      </c>
      <c r="E323" s="4" t="s">
        <v>3262</v>
      </c>
      <c r="F323" s="3" t="s">
        <v>7189</v>
      </c>
      <c r="G323" s="7" t="s">
        <v>5533</v>
      </c>
      <c r="H323" s="3" t="s">
        <v>6065</v>
      </c>
      <c r="I323" s="3" t="s">
        <v>6066</v>
      </c>
      <c r="J323" s="3" t="s">
        <v>5536</v>
      </c>
      <c r="K323" s="3" t="s">
        <v>3263</v>
      </c>
      <c r="L323" s="8" t="str">
        <f>HYPERLINK("http://slimages.macys.com/is/image/MCY/13894131 ")</f>
        <v xml:space="preserve">http://slimages.macys.com/is/image/MCY/13894131 </v>
      </c>
    </row>
    <row r="324" spans="1:12" x14ac:dyDescent="0.25">
      <c r="A324" s="6" t="s">
        <v>3265</v>
      </c>
      <c r="B324" s="3" t="s">
        <v>3266</v>
      </c>
      <c r="C324" s="4">
        <v>1</v>
      </c>
      <c r="D324" s="5">
        <v>39.5</v>
      </c>
      <c r="E324" s="4">
        <v>100081902</v>
      </c>
      <c r="F324" s="3" t="s">
        <v>5578</v>
      </c>
      <c r="G324" s="7" t="s">
        <v>5596</v>
      </c>
      <c r="H324" s="3" t="s">
        <v>5585</v>
      </c>
      <c r="I324" s="3" t="s">
        <v>5734</v>
      </c>
      <c r="J324" s="3" t="s">
        <v>5536</v>
      </c>
      <c r="K324" s="3" t="s">
        <v>5574</v>
      </c>
      <c r="L324" s="8" t="str">
        <f>HYPERLINK("http://slimages.macys.com/is/image/MCY/15667267 ")</f>
        <v xml:space="preserve">http://slimages.macys.com/is/image/MCY/15667267 </v>
      </c>
    </row>
    <row r="325" spans="1:12" x14ac:dyDescent="0.25">
      <c r="A325" s="6" t="s">
        <v>3267</v>
      </c>
      <c r="B325" s="3" t="s">
        <v>3268</v>
      </c>
      <c r="C325" s="4">
        <v>1</v>
      </c>
      <c r="D325" s="5">
        <v>29.5</v>
      </c>
      <c r="E325" s="4">
        <v>100084827</v>
      </c>
      <c r="F325" s="3" t="s">
        <v>5578</v>
      </c>
      <c r="G325" s="7" t="s">
        <v>5598</v>
      </c>
      <c r="H325" s="3" t="s">
        <v>5585</v>
      </c>
      <c r="I325" s="3" t="s">
        <v>5734</v>
      </c>
      <c r="J325" s="3" t="s">
        <v>5536</v>
      </c>
      <c r="K325" s="3" t="s">
        <v>5594</v>
      </c>
      <c r="L325" s="8" t="str">
        <f>HYPERLINK("http://slimages.macys.com/is/image/MCY/15889061 ")</f>
        <v xml:space="preserve">http://slimages.macys.com/is/image/MCY/15889061 </v>
      </c>
    </row>
    <row r="326" spans="1:12" ht="24.75" x14ac:dyDescent="0.25">
      <c r="A326" s="6" t="s">
        <v>3269</v>
      </c>
      <c r="B326" s="3" t="s">
        <v>5822</v>
      </c>
      <c r="C326" s="4">
        <v>1</v>
      </c>
      <c r="D326" s="5">
        <v>23</v>
      </c>
      <c r="E326" s="4" t="s">
        <v>3270</v>
      </c>
      <c r="F326" s="3" t="s">
        <v>5578</v>
      </c>
      <c r="G326" s="7"/>
      <c r="H326" s="3" t="s">
        <v>5825</v>
      </c>
      <c r="I326" s="3" t="s">
        <v>5826</v>
      </c>
      <c r="J326" s="3" t="s">
        <v>5536</v>
      </c>
      <c r="K326" s="3" t="s">
        <v>5594</v>
      </c>
      <c r="L326" s="8" t="str">
        <f>HYPERLINK("http://slimages.macys.com/is/image/MCY/9748747 ")</f>
        <v xml:space="preserve">http://slimages.macys.com/is/image/MCY/9748747 </v>
      </c>
    </row>
    <row r="327" spans="1:12" x14ac:dyDescent="0.25">
      <c r="A327" s="6" t="s">
        <v>2484</v>
      </c>
      <c r="B327" s="3" t="s">
        <v>2485</v>
      </c>
      <c r="C327" s="4">
        <v>1</v>
      </c>
      <c r="D327" s="5">
        <v>29.99</v>
      </c>
      <c r="E327" s="4" t="s">
        <v>2486</v>
      </c>
      <c r="F327" s="3" t="s">
        <v>5532</v>
      </c>
      <c r="G327" s="7" t="s">
        <v>5596</v>
      </c>
      <c r="H327" s="3" t="s">
        <v>6065</v>
      </c>
      <c r="I327" s="3" t="s">
        <v>6066</v>
      </c>
      <c r="J327" s="3" t="s">
        <v>5536</v>
      </c>
      <c r="K327" s="3" t="s">
        <v>5549</v>
      </c>
      <c r="L327" s="8" t="str">
        <f>HYPERLINK("http://slimages.macys.com/is/image/MCY/15361005 ")</f>
        <v xml:space="preserve">http://slimages.macys.com/is/image/MCY/15361005 </v>
      </c>
    </row>
    <row r="328" spans="1:12" ht="24.75" x14ac:dyDescent="0.25">
      <c r="A328" s="6" t="s">
        <v>3271</v>
      </c>
      <c r="B328" s="3" t="s">
        <v>3272</v>
      </c>
      <c r="C328" s="4">
        <v>1</v>
      </c>
      <c r="D328" s="5">
        <v>24</v>
      </c>
      <c r="E328" s="4" t="s">
        <v>3273</v>
      </c>
      <c r="F328" s="3" t="s">
        <v>5540</v>
      </c>
      <c r="G328" s="7"/>
      <c r="H328" s="3" t="s">
        <v>6805</v>
      </c>
      <c r="I328" s="3" t="s">
        <v>3274</v>
      </c>
      <c r="J328" s="3" t="s">
        <v>5536</v>
      </c>
      <c r="K328" s="3" t="s">
        <v>3275</v>
      </c>
      <c r="L328" s="8" t="str">
        <f>HYPERLINK("http://slimages.macys.com/is/image/MCY/15490213 ")</f>
        <v xml:space="preserve">http://slimages.macys.com/is/image/MCY/15490213 </v>
      </c>
    </row>
    <row r="329" spans="1:12" ht="24.75" x14ac:dyDescent="0.25">
      <c r="A329" s="6" t="s">
        <v>3276</v>
      </c>
      <c r="B329" s="3" t="s">
        <v>3277</v>
      </c>
      <c r="C329" s="4">
        <v>1</v>
      </c>
      <c r="D329" s="5">
        <v>24</v>
      </c>
      <c r="E329" s="4" t="s">
        <v>3278</v>
      </c>
      <c r="F329" s="3" t="s">
        <v>5578</v>
      </c>
      <c r="G329" s="7"/>
      <c r="H329" s="3" t="s">
        <v>6805</v>
      </c>
      <c r="I329" s="3" t="s">
        <v>3274</v>
      </c>
      <c r="J329" s="3" t="s">
        <v>5536</v>
      </c>
      <c r="K329" s="3" t="s">
        <v>3279</v>
      </c>
      <c r="L329" s="8" t="str">
        <f>HYPERLINK("http://slimages.macys.com/is/image/MCY/15490730 ")</f>
        <v xml:space="preserve">http://slimages.macys.com/is/image/MCY/15490730 </v>
      </c>
    </row>
    <row r="330" spans="1:12" x14ac:dyDescent="0.25">
      <c r="A330" s="6" t="s">
        <v>3280</v>
      </c>
      <c r="B330" s="3" t="s">
        <v>6618</v>
      </c>
      <c r="C330" s="4">
        <v>1</v>
      </c>
      <c r="D330" s="5">
        <v>29.99</v>
      </c>
      <c r="E330" s="4" t="s">
        <v>6619</v>
      </c>
      <c r="F330" s="3" t="s">
        <v>5540</v>
      </c>
      <c r="G330" s="7" t="s">
        <v>5560</v>
      </c>
      <c r="H330" s="3" t="s">
        <v>6065</v>
      </c>
      <c r="I330" s="3" t="s">
        <v>6066</v>
      </c>
      <c r="J330" s="3" t="s">
        <v>5536</v>
      </c>
      <c r="K330" s="3" t="s">
        <v>5594</v>
      </c>
      <c r="L330" s="8" t="str">
        <f>HYPERLINK("http://slimages.macys.com/is/image/MCY/15361040 ")</f>
        <v xml:space="preserve">http://slimages.macys.com/is/image/MCY/15361040 </v>
      </c>
    </row>
    <row r="331" spans="1:12" ht="36.75" x14ac:dyDescent="0.25">
      <c r="A331" s="6" t="s">
        <v>3281</v>
      </c>
      <c r="B331" s="3" t="s">
        <v>3282</v>
      </c>
      <c r="C331" s="4">
        <v>1</v>
      </c>
      <c r="D331" s="5">
        <v>21.99</v>
      </c>
      <c r="E331" s="4" t="s">
        <v>3283</v>
      </c>
      <c r="F331" s="3" t="s">
        <v>6146</v>
      </c>
      <c r="G331" s="7" t="s">
        <v>6491</v>
      </c>
      <c r="H331" s="3" t="s">
        <v>6627</v>
      </c>
      <c r="I331" s="3" t="s">
        <v>3284</v>
      </c>
      <c r="J331" s="3" t="s">
        <v>5536</v>
      </c>
      <c r="K331" s="3" t="s">
        <v>3285</v>
      </c>
      <c r="L331" s="8" t="str">
        <f>HYPERLINK("http://slimages.macys.com/is/image/MCY/2277852 ")</f>
        <v xml:space="preserve">http://slimages.macys.com/is/image/MCY/2277852 </v>
      </c>
    </row>
    <row r="332" spans="1:12" ht="24.75" x14ac:dyDescent="0.25">
      <c r="A332" s="6" t="s">
        <v>3286</v>
      </c>
      <c r="B332" s="3" t="s">
        <v>3287</v>
      </c>
      <c r="C332" s="4">
        <v>1</v>
      </c>
      <c r="D332" s="5">
        <v>34.99</v>
      </c>
      <c r="E332" s="4" t="s">
        <v>3288</v>
      </c>
      <c r="F332" s="3" t="s">
        <v>5803</v>
      </c>
      <c r="G332" s="7" t="s">
        <v>5596</v>
      </c>
      <c r="H332" s="3" t="s">
        <v>6065</v>
      </c>
      <c r="I332" s="3" t="s">
        <v>6066</v>
      </c>
      <c r="J332" s="3" t="s">
        <v>5536</v>
      </c>
      <c r="K332" s="3" t="s">
        <v>6638</v>
      </c>
      <c r="L332" s="8" t="str">
        <f>HYPERLINK("http://slimages.macys.com/is/image/MCY/9909394 ")</f>
        <v xml:space="preserve">http://slimages.macys.com/is/image/MCY/9909394 </v>
      </c>
    </row>
    <row r="333" spans="1:12" ht="24.75" x14ac:dyDescent="0.25">
      <c r="A333" s="6" t="s">
        <v>3289</v>
      </c>
      <c r="B333" s="3" t="s">
        <v>3290</v>
      </c>
      <c r="C333" s="4">
        <v>1</v>
      </c>
      <c r="D333" s="5">
        <v>19.989999999999998</v>
      </c>
      <c r="E333" s="4" t="s">
        <v>3291</v>
      </c>
      <c r="F333" s="3" t="s">
        <v>5540</v>
      </c>
      <c r="G333" s="7" t="s">
        <v>5898</v>
      </c>
      <c r="H333" s="3" t="s">
        <v>6632</v>
      </c>
      <c r="I333" s="3" t="s">
        <v>6969</v>
      </c>
      <c r="J333" s="3" t="s">
        <v>5536</v>
      </c>
      <c r="K333" s="3" t="s">
        <v>2493</v>
      </c>
      <c r="L333" s="8" t="str">
        <f>HYPERLINK("http://slimages.macys.com/is/image/MCY/12786827 ")</f>
        <v xml:space="preserve">http://slimages.macys.com/is/image/MCY/12786827 </v>
      </c>
    </row>
    <row r="334" spans="1:12" ht="36.75" x14ac:dyDescent="0.25">
      <c r="A334" s="6" t="s">
        <v>3292</v>
      </c>
      <c r="B334" s="3" t="s">
        <v>3293</v>
      </c>
      <c r="C334" s="4">
        <v>1</v>
      </c>
      <c r="D334" s="5">
        <v>29.5</v>
      </c>
      <c r="E334" s="4">
        <v>100081877</v>
      </c>
      <c r="F334" s="3" t="s">
        <v>5540</v>
      </c>
      <c r="G334" s="7" t="s">
        <v>5562</v>
      </c>
      <c r="H334" s="3" t="s">
        <v>5585</v>
      </c>
      <c r="I334" s="3" t="s">
        <v>5734</v>
      </c>
      <c r="J334" s="3" t="s">
        <v>5536</v>
      </c>
      <c r="K334" s="3" t="s">
        <v>3152</v>
      </c>
      <c r="L334" s="8" t="str">
        <f>HYPERLINK("http://slimages.macys.com/is/image/MCY/15669117 ")</f>
        <v xml:space="preserve">http://slimages.macys.com/is/image/MCY/15669117 </v>
      </c>
    </row>
    <row r="335" spans="1:12" ht="24.75" x14ac:dyDescent="0.25">
      <c r="A335" s="6" t="s">
        <v>3294</v>
      </c>
      <c r="B335" s="3" t="s">
        <v>3295</v>
      </c>
      <c r="C335" s="4">
        <v>1</v>
      </c>
      <c r="D335" s="5">
        <v>26</v>
      </c>
      <c r="E335" s="4">
        <v>10043217</v>
      </c>
      <c r="F335" s="3" t="s">
        <v>5783</v>
      </c>
      <c r="G335" s="7" t="s">
        <v>5598</v>
      </c>
      <c r="H335" s="3" t="s">
        <v>6492</v>
      </c>
      <c r="I335" s="3" t="s">
        <v>6790</v>
      </c>
      <c r="J335" s="3" t="s">
        <v>5536</v>
      </c>
      <c r="K335" s="3" t="s">
        <v>5594</v>
      </c>
      <c r="L335" s="8" t="str">
        <f>HYPERLINK("http://slimages.macys.com/is/image/MCY/13891122 ")</f>
        <v xml:space="preserve">http://slimages.macys.com/is/image/MCY/13891122 </v>
      </c>
    </row>
    <row r="336" spans="1:12" ht="24.75" x14ac:dyDescent="0.25">
      <c r="A336" s="6" t="s">
        <v>3296</v>
      </c>
      <c r="B336" s="3" t="s">
        <v>3297</v>
      </c>
      <c r="C336" s="4">
        <v>1</v>
      </c>
      <c r="D336" s="5">
        <v>14.99</v>
      </c>
      <c r="E336" s="4" t="s">
        <v>3298</v>
      </c>
      <c r="F336" s="3" t="s">
        <v>3299</v>
      </c>
      <c r="G336" s="7" t="s">
        <v>5533</v>
      </c>
      <c r="H336" s="3" t="s">
        <v>5929</v>
      </c>
      <c r="I336" s="3" t="s">
        <v>3300</v>
      </c>
      <c r="J336" s="3" t="s">
        <v>5536</v>
      </c>
      <c r="K336" s="3" t="s">
        <v>5594</v>
      </c>
      <c r="L336" s="8" t="str">
        <f>HYPERLINK("http://slimages.macys.com/is/image/MCY/11645875 ")</f>
        <v xml:space="preserve">http://slimages.macys.com/is/image/MCY/11645875 </v>
      </c>
    </row>
    <row r="337" spans="1:12" x14ac:dyDescent="0.25">
      <c r="A337" s="6" t="s">
        <v>3301</v>
      </c>
      <c r="B337" s="3" t="s">
        <v>3302</v>
      </c>
      <c r="C337" s="4">
        <v>1</v>
      </c>
      <c r="D337" s="5">
        <v>14.99</v>
      </c>
      <c r="E337" s="4" t="s">
        <v>3303</v>
      </c>
      <c r="F337" s="3" t="s">
        <v>5540</v>
      </c>
      <c r="G337" s="7" t="s">
        <v>5560</v>
      </c>
      <c r="H337" s="3" t="s">
        <v>5929</v>
      </c>
      <c r="I337" s="3" t="s">
        <v>3300</v>
      </c>
      <c r="J337" s="3" t="s">
        <v>5536</v>
      </c>
      <c r="K337" s="3" t="s">
        <v>5553</v>
      </c>
      <c r="L337" s="8" t="str">
        <f>HYPERLINK("http://slimages.macys.com/is/image/MCY/12927089 ")</f>
        <v xml:space="preserve">http://slimages.macys.com/is/image/MCY/12927089 </v>
      </c>
    </row>
    <row r="338" spans="1:12" x14ac:dyDescent="0.25">
      <c r="A338" s="6" t="s">
        <v>3304</v>
      </c>
      <c r="B338" s="3" t="s">
        <v>3305</v>
      </c>
      <c r="C338" s="4">
        <v>1</v>
      </c>
      <c r="D338" s="5">
        <v>14.99</v>
      </c>
      <c r="E338" s="4" t="s">
        <v>3306</v>
      </c>
      <c r="F338" s="3" t="s">
        <v>3197</v>
      </c>
      <c r="G338" s="7" t="s">
        <v>5562</v>
      </c>
      <c r="H338" s="3" t="s">
        <v>5929</v>
      </c>
      <c r="I338" s="3" t="s">
        <v>3300</v>
      </c>
      <c r="J338" s="3" t="s">
        <v>5536</v>
      </c>
      <c r="K338" s="3" t="s">
        <v>5549</v>
      </c>
      <c r="L338" s="8" t="str">
        <f>HYPERLINK("http://slimages.macys.com/is/image/MCY/11645852 ")</f>
        <v xml:space="preserve">http://slimages.macys.com/is/image/MCY/11645852 </v>
      </c>
    </row>
    <row r="339" spans="1:12" x14ac:dyDescent="0.25">
      <c r="A339" s="6" t="s">
        <v>3307</v>
      </c>
      <c r="B339" s="3" t="s">
        <v>3308</v>
      </c>
      <c r="C339" s="4">
        <v>1</v>
      </c>
      <c r="D339" s="5">
        <v>29.5</v>
      </c>
      <c r="E339" s="4">
        <v>100063766</v>
      </c>
      <c r="F339" s="3" t="s">
        <v>6075</v>
      </c>
      <c r="G339" s="7" t="s">
        <v>5596</v>
      </c>
      <c r="H339" s="3" t="s">
        <v>5585</v>
      </c>
      <c r="I339" s="3" t="s">
        <v>5734</v>
      </c>
      <c r="J339" s="3" t="s">
        <v>5536</v>
      </c>
      <c r="K339" s="3" t="s">
        <v>5594</v>
      </c>
      <c r="L339" s="8" t="str">
        <f>HYPERLINK("http://slimages.macys.com/is/image/MCY/12850451 ")</f>
        <v xml:space="preserve">http://slimages.macys.com/is/image/MCY/12850451 </v>
      </c>
    </row>
    <row r="340" spans="1:12" x14ac:dyDescent="0.25">
      <c r="A340" s="6" t="s">
        <v>3309</v>
      </c>
      <c r="B340" s="3" t="s">
        <v>3310</v>
      </c>
      <c r="C340" s="4">
        <v>1</v>
      </c>
      <c r="D340" s="5">
        <v>40</v>
      </c>
      <c r="E340" s="4" t="s">
        <v>3311</v>
      </c>
      <c r="F340" s="3" t="s">
        <v>5540</v>
      </c>
      <c r="G340" s="7" t="s">
        <v>6626</v>
      </c>
      <c r="H340" s="3" t="s">
        <v>6131</v>
      </c>
      <c r="I340" s="3" t="s">
        <v>3312</v>
      </c>
      <c r="J340" s="3" t="s">
        <v>5536</v>
      </c>
      <c r="K340" s="3" t="s">
        <v>6133</v>
      </c>
      <c r="L340" s="8" t="str">
        <f>HYPERLINK("http://slimages.macys.com/is/image/MCY/9964093 ")</f>
        <v xml:space="preserve">http://slimages.macys.com/is/image/MCY/9964093 </v>
      </c>
    </row>
    <row r="341" spans="1:12" x14ac:dyDescent="0.25">
      <c r="A341" s="6" t="s">
        <v>3313</v>
      </c>
      <c r="B341" s="3" t="s">
        <v>3310</v>
      </c>
      <c r="C341" s="4">
        <v>1</v>
      </c>
      <c r="D341" s="5">
        <v>40</v>
      </c>
      <c r="E341" s="4" t="s">
        <v>3311</v>
      </c>
      <c r="F341" s="3" t="s">
        <v>5540</v>
      </c>
      <c r="G341" s="7" t="s">
        <v>6491</v>
      </c>
      <c r="H341" s="3" t="s">
        <v>6131</v>
      </c>
      <c r="I341" s="3" t="s">
        <v>3312</v>
      </c>
      <c r="J341" s="3" t="s">
        <v>5536</v>
      </c>
      <c r="K341" s="3" t="s">
        <v>6133</v>
      </c>
      <c r="L341" s="8" t="str">
        <f>HYPERLINK("http://slimages.macys.com/is/image/MCY/9964093 ")</f>
        <v xml:space="preserve">http://slimages.macys.com/is/image/MCY/9964093 </v>
      </c>
    </row>
    <row r="342" spans="1:12" ht="24.75" x14ac:dyDescent="0.25">
      <c r="A342" s="6" t="s">
        <v>3314</v>
      </c>
      <c r="B342" s="3" t="s">
        <v>5113</v>
      </c>
      <c r="C342" s="4">
        <v>1</v>
      </c>
      <c r="D342" s="5">
        <v>17.77</v>
      </c>
      <c r="E342" s="4" t="s">
        <v>5114</v>
      </c>
      <c r="F342" s="3" t="s">
        <v>5532</v>
      </c>
      <c r="G342" s="7"/>
      <c r="H342" s="3" t="s">
        <v>6026</v>
      </c>
      <c r="I342" s="3" t="s">
        <v>6646</v>
      </c>
      <c r="J342" s="3" t="s">
        <v>5536</v>
      </c>
      <c r="K342" s="3" t="s">
        <v>5574</v>
      </c>
      <c r="L342" s="8" t="str">
        <f>HYPERLINK("http://slimages.macys.com/is/image/MCY/13038876 ")</f>
        <v xml:space="preserve">http://slimages.macys.com/is/image/MCY/13038876 </v>
      </c>
    </row>
    <row r="343" spans="1:12" ht="24.75" x14ac:dyDescent="0.25">
      <c r="A343" s="6" t="s">
        <v>3315</v>
      </c>
      <c r="B343" s="3" t="s">
        <v>6648</v>
      </c>
      <c r="C343" s="4">
        <v>1</v>
      </c>
      <c r="D343" s="5">
        <v>17.77</v>
      </c>
      <c r="E343" s="4" t="s">
        <v>3316</v>
      </c>
      <c r="F343" s="3" t="s">
        <v>5783</v>
      </c>
      <c r="G343" s="7"/>
      <c r="H343" s="3" t="s">
        <v>6026</v>
      </c>
      <c r="I343" s="3" t="s">
        <v>6646</v>
      </c>
      <c r="J343" s="3" t="s">
        <v>5536</v>
      </c>
      <c r="K343" s="3" t="s">
        <v>5574</v>
      </c>
      <c r="L343" s="8" t="str">
        <f>HYPERLINK("http://slimages.macys.com/is/image/MCY/13038335 ")</f>
        <v xml:space="preserve">http://slimages.macys.com/is/image/MCY/13038335 </v>
      </c>
    </row>
    <row r="344" spans="1:12" ht="24.75" x14ac:dyDescent="0.25">
      <c r="A344" s="6" t="s">
        <v>6650</v>
      </c>
      <c r="B344" s="3" t="s">
        <v>6651</v>
      </c>
      <c r="C344" s="4">
        <v>1</v>
      </c>
      <c r="D344" s="5">
        <v>27.99</v>
      </c>
      <c r="E344" s="4">
        <v>10008460800</v>
      </c>
      <c r="F344" s="3" t="s">
        <v>5532</v>
      </c>
      <c r="G344" s="7" t="s">
        <v>6252</v>
      </c>
      <c r="H344" s="3" t="s">
        <v>6652</v>
      </c>
      <c r="I344" s="3" t="s">
        <v>6653</v>
      </c>
      <c r="J344" s="3" t="s">
        <v>5536</v>
      </c>
      <c r="K344" s="3" t="s">
        <v>5587</v>
      </c>
      <c r="L344" s="8" t="str">
        <f>HYPERLINK("http://slimages.macys.com/is/image/MCY/15924999 ")</f>
        <v xml:space="preserve">http://slimages.macys.com/is/image/MCY/15924999 </v>
      </c>
    </row>
    <row r="345" spans="1:12" x14ac:dyDescent="0.25">
      <c r="A345" s="6" t="s">
        <v>3317</v>
      </c>
      <c r="B345" s="3" t="s">
        <v>3318</v>
      </c>
      <c r="C345" s="4">
        <v>1</v>
      </c>
      <c r="D345" s="5">
        <v>24.99</v>
      </c>
      <c r="E345" s="4" t="s">
        <v>3319</v>
      </c>
      <c r="F345" s="3" t="s">
        <v>5540</v>
      </c>
      <c r="G345" s="7" t="s">
        <v>5562</v>
      </c>
      <c r="H345" s="3" t="s">
        <v>6065</v>
      </c>
      <c r="I345" s="3" t="s">
        <v>6066</v>
      </c>
      <c r="J345" s="3" t="s">
        <v>5536</v>
      </c>
      <c r="K345" s="3" t="s">
        <v>5594</v>
      </c>
      <c r="L345" s="8" t="str">
        <f>HYPERLINK("http://slimages.macys.com/is/image/MCY/14409720 ")</f>
        <v xml:space="preserve">http://slimages.macys.com/is/image/MCY/14409720 </v>
      </c>
    </row>
    <row r="346" spans="1:12" ht="24.75" x14ac:dyDescent="0.25">
      <c r="A346" s="6" t="s">
        <v>4391</v>
      </c>
      <c r="B346" s="3" t="s">
        <v>6660</v>
      </c>
      <c r="C346" s="4">
        <v>1</v>
      </c>
      <c r="D346" s="5">
        <v>29.99</v>
      </c>
      <c r="E346" s="4" t="s">
        <v>4392</v>
      </c>
      <c r="F346" s="3" t="s">
        <v>5540</v>
      </c>
      <c r="G346" s="7" t="s">
        <v>5598</v>
      </c>
      <c r="H346" s="3" t="s">
        <v>6065</v>
      </c>
      <c r="I346" s="3" t="s">
        <v>6066</v>
      </c>
      <c r="J346" s="3" t="s">
        <v>5536</v>
      </c>
      <c r="K346" s="3" t="s">
        <v>6638</v>
      </c>
      <c r="L346" s="8" t="str">
        <f>HYPERLINK("http://slimages.macys.com/is/image/MCY/8796569 ")</f>
        <v xml:space="preserve">http://slimages.macys.com/is/image/MCY/8796569 </v>
      </c>
    </row>
    <row r="347" spans="1:12" ht="24.75" x14ac:dyDescent="0.25">
      <c r="A347" s="6" t="s">
        <v>3320</v>
      </c>
      <c r="B347" s="3" t="s">
        <v>5126</v>
      </c>
      <c r="C347" s="4">
        <v>1</v>
      </c>
      <c r="D347" s="5">
        <v>17.5</v>
      </c>
      <c r="E347" s="4" t="s">
        <v>3321</v>
      </c>
      <c r="F347" s="3" t="s">
        <v>6983</v>
      </c>
      <c r="G347" s="7" t="s">
        <v>5762</v>
      </c>
      <c r="H347" s="3" t="s">
        <v>5722</v>
      </c>
      <c r="I347" s="3" t="s">
        <v>5128</v>
      </c>
      <c r="J347" s="3" t="s">
        <v>5536</v>
      </c>
      <c r="K347" s="3" t="s">
        <v>5574</v>
      </c>
      <c r="L347" s="8" t="str">
        <f>HYPERLINK("http://slimages.macys.com/is/image/MCY/15817497 ")</f>
        <v xml:space="preserve">http://slimages.macys.com/is/image/MCY/15817497 </v>
      </c>
    </row>
    <row r="348" spans="1:12" ht="24.75" x14ac:dyDescent="0.25">
      <c r="A348" s="6" t="s">
        <v>3322</v>
      </c>
      <c r="B348" s="3" t="s">
        <v>5126</v>
      </c>
      <c r="C348" s="4">
        <v>1</v>
      </c>
      <c r="D348" s="5">
        <v>17.5</v>
      </c>
      <c r="E348" s="4" t="s">
        <v>3323</v>
      </c>
      <c r="F348" s="3" t="s">
        <v>5783</v>
      </c>
      <c r="G348" s="7" t="s">
        <v>6476</v>
      </c>
      <c r="H348" s="3" t="s">
        <v>5722</v>
      </c>
      <c r="I348" s="3" t="s">
        <v>5128</v>
      </c>
      <c r="J348" s="3" t="s">
        <v>5536</v>
      </c>
      <c r="K348" s="3" t="s">
        <v>5574</v>
      </c>
      <c r="L348" s="8" t="str">
        <f>HYPERLINK("http://slimages.macys.com/is/image/MCY/15817905 ")</f>
        <v xml:space="preserve">http://slimages.macys.com/is/image/MCY/15817905 </v>
      </c>
    </row>
    <row r="349" spans="1:12" ht="48.75" x14ac:dyDescent="0.25">
      <c r="A349" s="6" t="s">
        <v>3324</v>
      </c>
      <c r="B349" s="3" t="s">
        <v>3325</v>
      </c>
      <c r="C349" s="4">
        <v>1</v>
      </c>
      <c r="D349" s="5">
        <v>29.5</v>
      </c>
      <c r="E349" s="4">
        <v>100081873</v>
      </c>
      <c r="F349" s="3" t="s">
        <v>5783</v>
      </c>
      <c r="G349" s="7" t="s">
        <v>5533</v>
      </c>
      <c r="H349" s="3" t="s">
        <v>5585</v>
      </c>
      <c r="I349" s="3" t="s">
        <v>5734</v>
      </c>
      <c r="J349" s="3" t="s">
        <v>5536</v>
      </c>
      <c r="K349" s="3" t="s">
        <v>3326</v>
      </c>
      <c r="L349" s="8" t="str">
        <f>HYPERLINK("http://slimages.macys.com/is/image/MCY/15668968 ")</f>
        <v xml:space="preserve">http://slimages.macys.com/is/image/MCY/15668968 </v>
      </c>
    </row>
    <row r="350" spans="1:12" ht="24.75" x14ac:dyDescent="0.25">
      <c r="A350" s="6" t="s">
        <v>3327</v>
      </c>
      <c r="B350" s="3" t="s">
        <v>5126</v>
      </c>
      <c r="C350" s="4">
        <v>2</v>
      </c>
      <c r="D350" s="5">
        <v>35</v>
      </c>
      <c r="E350" s="4" t="s">
        <v>3323</v>
      </c>
      <c r="F350" s="3" t="s">
        <v>5783</v>
      </c>
      <c r="G350" s="7" t="s">
        <v>5779</v>
      </c>
      <c r="H350" s="3" t="s">
        <v>5722</v>
      </c>
      <c r="I350" s="3" t="s">
        <v>5128</v>
      </c>
      <c r="J350" s="3" t="s">
        <v>5536</v>
      </c>
      <c r="K350" s="3" t="s">
        <v>5574</v>
      </c>
      <c r="L350" s="8" t="str">
        <f>HYPERLINK("http://slimages.macys.com/is/image/MCY/15817905 ")</f>
        <v xml:space="preserve">http://slimages.macys.com/is/image/MCY/15817905 </v>
      </c>
    </row>
    <row r="351" spans="1:12" ht="24.75" x14ac:dyDescent="0.25">
      <c r="A351" s="6" t="s">
        <v>3328</v>
      </c>
      <c r="B351" s="3" t="s">
        <v>5126</v>
      </c>
      <c r="C351" s="4">
        <v>1</v>
      </c>
      <c r="D351" s="5">
        <v>17.5</v>
      </c>
      <c r="E351" s="4" t="s">
        <v>3323</v>
      </c>
      <c r="F351" s="3" t="s">
        <v>5783</v>
      </c>
      <c r="G351" s="7" t="s">
        <v>5824</v>
      </c>
      <c r="H351" s="3" t="s">
        <v>5722</v>
      </c>
      <c r="I351" s="3" t="s">
        <v>5128</v>
      </c>
      <c r="J351" s="3" t="s">
        <v>5536</v>
      </c>
      <c r="K351" s="3" t="s">
        <v>5574</v>
      </c>
      <c r="L351" s="8" t="str">
        <f>HYPERLINK("http://slimages.macys.com/is/image/MCY/15817905 ")</f>
        <v xml:space="preserve">http://slimages.macys.com/is/image/MCY/15817905 </v>
      </c>
    </row>
    <row r="352" spans="1:12" ht="24.75" x14ac:dyDescent="0.25">
      <c r="A352" s="6" t="s">
        <v>3329</v>
      </c>
      <c r="B352" s="3" t="s">
        <v>5126</v>
      </c>
      <c r="C352" s="4">
        <v>1</v>
      </c>
      <c r="D352" s="5">
        <v>17.5</v>
      </c>
      <c r="E352" s="4" t="s">
        <v>3330</v>
      </c>
      <c r="F352" s="3" t="s">
        <v>6983</v>
      </c>
      <c r="G352" s="7" t="s">
        <v>6476</v>
      </c>
      <c r="H352" s="3" t="s">
        <v>5722</v>
      </c>
      <c r="I352" s="3" t="s">
        <v>5128</v>
      </c>
      <c r="J352" s="3" t="s">
        <v>5536</v>
      </c>
      <c r="K352" s="3" t="s">
        <v>5574</v>
      </c>
      <c r="L352" s="8" t="str">
        <f>HYPERLINK("http://slimages.macys.com/is/image/MCY/15817905 ")</f>
        <v xml:space="preserve">http://slimages.macys.com/is/image/MCY/15817905 </v>
      </c>
    </row>
    <row r="353" spans="1:12" ht="24.75" x14ac:dyDescent="0.25">
      <c r="A353" s="6" t="s">
        <v>3331</v>
      </c>
      <c r="B353" s="3" t="s">
        <v>3332</v>
      </c>
      <c r="C353" s="4">
        <v>1</v>
      </c>
      <c r="D353" s="5">
        <v>29.99</v>
      </c>
      <c r="E353" s="4" t="s">
        <v>3333</v>
      </c>
      <c r="F353" s="3" t="s">
        <v>5532</v>
      </c>
      <c r="G353" s="7" t="s">
        <v>5533</v>
      </c>
      <c r="H353" s="3" t="s">
        <v>6065</v>
      </c>
      <c r="I353" s="3" t="s">
        <v>6066</v>
      </c>
      <c r="J353" s="3" t="s">
        <v>5536</v>
      </c>
      <c r="K353" s="3" t="s">
        <v>5864</v>
      </c>
      <c r="L353" s="8" t="str">
        <f>HYPERLINK("http://slimages.macys.com/is/image/MCY/8258284 ")</f>
        <v xml:space="preserve">http://slimages.macys.com/is/image/MCY/8258284 </v>
      </c>
    </row>
    <row r="354" spans="1:12" ht="36.75" x14ac:dyDescent="0.25">
      <c r="A354" s="6" t="s">
        <v>3334</v>
      </c>
      <c r="B354" s="3" t="s">
        <v>3335</v>
      </c>
      <c r="C354" s="4">
        <v>2</v>
      </c>
      <c r="D354" s="5">
        <v>43.98</v>
      </c>
      <c r="E354" s="4" t="s">
        <v>3336</v>
      </c>
      <c r="F354" s="3" t="s">
        <v>6146</v>
      </c>
      <c r="G354" s="7" t="s">
        <v>5596</v>
      </c>
      <c r="H354" s="3" t="s">
        <v>6627</v>
      </c>
      <c r="I354" s="3" t="s">
        <v>3284</v>
      </c>
      <c r="J354" s="3" t="s">
        <v>5536</v>
      </c>
      <c r="K354" s="3" t="s">
        <v>3337</v>
      </c>
      <c r="L354" s="8" t="str">
        <f>HYPERLINK("http://slimages.macys.com/is/image/MCY/10431256 ")</f>
        <v xml:space="preserve">http://slimages.macys.com/is/image/MCY/10431256 </v>
      </c>
    </row>
    <row r="355" spans="1:12" ht="36.75" x14ac:dyDescent="0.25">
      <c r="A355" s="6" t="s">
        <v>3338</v>
      </c>
      <c r="B355" s="3" t="s">
        <v>3335</v>
      </c>
      <c r="C355" s="4">
        <v>3</v>
      </c>
      <c r="D355" s="5">
        <v>65.97</v>
      </c>
      <c r="E355" s="4" t="s">
        <v>3336</v>
      </c>
      <c r="F355" s="3" t="s">
        <v>5578</v>
      </c>
      <c r="G355" s="7" t="s">
        <v>5596</v>
      </c>
      <c r="H355" s="3" t="s">
        <v>6627</v>
      </c>
      <c r="I355" s="3" t="s">
        <v>3284</v>
      </c>
      <c r="J355" s="3" t="s">
        <v>5536</v>
      </c>
      <c r="K355" s="3" t="s">
        <v>3337</v>
      </c>
      <c r="L355" s="8" t="str">
        <f>HYPERLINK("http://slimages.macys.com/is/image/MCY/10431256 ")</f>
        <v xml:space="preserve">http://slimages.macys.com/is/image/MCY/10431256 </v>
      </c>
    </row>
    <row r="356" spans="1:12" ht="24.75" x14ac:dyDescent="0.25">
      <c r="A356" s="6" t="s">
        <v>3339</v>
      </c>
      <c r="B356" s="3" t="s">
        <v>3340</v>
      </c>
      <c r="C356" s="4">
        <v>1</v>
      </c>
      <c r="D356" s="5">
        <v>19.989999999999998</v>
      </c>
      <c r="E356" s="4">
        <v>10007023300</v>
      </c>
      <c r="F356" s="3" t="s">
        <v>5578</v>
      </c>
      <c r="G356" s="7" t="s">
        <v>6252</v>
      </c>
      <c r="H356" s="3" t="s">
        <v>6652</v>
      </c>
      <c r="I356" s="3" t="s">
        <v>6681</v>
      </c>
      <c r="J356" s="3" t="s">
        <v>5536</v>
      </c>
      <c r="K356" s="3" t="s">
        <v>6316</v>
      </c>
      <c r="L356" s="8" t="str">
        <f>HYPERLINK("http://slimages.macys.com/is/image/MCY/12742526 ")</f>
        <v xml:space="preserve">http://slimages.macys.com/is/image/MCY/12742526 </v>
      </c>
    </row>
    <row r="357" spans="1:12" ht="24.75" x14ac:dyDescent="0.25">
      <c r="A357" s="6" t="s">
        <v>3341</v>
      </c>
      <c r="B357" s="3" t="s">
        <v>3342</v>
      </c>
      <c r="C357" s="4">
        <v>1</v>
      </c>
      <c r="D357" s="5">
        <v>16.989999999999998</v>
      </c>
      <c r="E357" s="4" t="s">
        <v>3343</v>
      </c>
      <c r="F357" s="3" t="s">
        <v>5540</v>
      </c>
      <c r="G357" s="7" t="s">
        <v>2321</v>
      </c>
      <c r="H357" s="3" t="s">
        <v>5842</v>
      </c>
      <c r="I357" s="3" t="s">
        <v>6773</v>
      </c>
      <c r="J357" s="3" t="s">
        <v>5536</v>
      </c>
      <c r="K357" s="3" t="s">
        <v>2512</v>
      </c>
      <c r="L357" s="8" t="str">
        <f>HYPERLINK("http://slimages.macys.com/is/image/MCY/10211877 ")</f>
        <v xml:space="preserve">http://slimages.macys.com/is/image/MCY/10211877 </v>
      </c>
    </row>
    <row r="358" spans="1:12" ht="24.75" x14ac:dyDescent="0.25">
      <c r="A358" s="6" t="s">
        <v>3344</v>
      </c>
      <c r="B358" s="3" t="s">
        <v>3345</v>
      </c>
      <c r="C358" s="4">
        <v>1</v>
      </c>
      <c r="D358" s="5">
        <v>20</v>
      </c>
      <c r="E358" s="4">
        <v>10061124</v>
      </c>
      <c r="F358" s="3" t="s">
        <v>5540</v>
      </c>
      <c r="G358" s="7" t="s">
        <v>5533</v>
      </c>
      <c r="H358" s="3" t="s">
        <v>6492</v>
      </c>
      <c r="I358" s="3" t="s">
        <v>6790</v>
      </c>
      <c r="J358" s="3" t="s">
        <v>5536</v>
      </c>
      <c r="K358" s="3" t="s">
        <v>5594</v>
      </c>
      <c r="L358" s="8" t="str">
        <f>HYPERLINK("http://slimages.macys.com/is/image/MCY/15768547 ")</f>
        <v xml:space="preserve">http://slimages.macys.com/is/image/MCY/15768547 </v>
      </c>
    </row>
    <row r="359" spans="1:12" ht="24.75" x14ac:dyDescent="0.25">
      <c r="A359" s="6" t="s">
        <v>3346</v>
      </c>
      <c r="B359" s="3" t="s">
        <v>3347</v>
      </c>
      <c r="C359" s="4">
        <v>1</v>
      </c>
      <c r="D359" s="5">
        <v>15.99</v>
      </c>
      <c r="E359" s="4" t="s">
        <v>3348</v>
      </c>
      <c r="F359" s="3" t="s">
        <v>5540</v>
      </c>
      <c r="G359" s="7" t="s">
        <v>5898</v>
      </c>
      <c r="H359" s="3" t="s">
        <v>6805</v>
      </c>
      <c r="I359" s="3" t="s">
        <v>6795</v>
      </c>
      <c r="J359" s="3" t="s">
        <v>5536</v>
      </c>
      <c r="K359" s="3" t="s">
        <v>5587</v>
      </c>
      <c r="L359" s="8" t="str">
        <f>HYPERLINK("http://slimages.macys.com/is/image/MCY/14311970 ")</f>
        <v xml:space="preserve">http://slimages.macys.com/is/image/MCY/14311970 </v>
      </c>
    </row>
    <row r="360" spans="1:12" ht="24.75" x14ac:dyDescent="0.25">
      <c r="A360" s="6" t="s">
        <v>6813</v>
      </c>
      <c r="B360" s="3" t="s">
        <v>6814</v>
      </c>
      <c r="C360" s="4">
        <v>1</v>
      </c>
      <c r="D360" s="5">
        <v>16.989999999999998</v>
      </c>
      <c r="E360" s="4" t="s">
        <v>6810</v>
      </c>
      <c r="F360" s="3" t="s">
        <v>5798</v>
      </c>
      <c r="G360" s="7" t="s">
        <v>6772</v>
      </c>
      <c r="H360" s="3" t="s">
        <v>5842</v>
      </c>
      <c r="I360" s="3" t="s">
        <v>6811</v>
      </c>
      <c r="J360" s="3" t="s">
        <v>5536</v>
      </c>
      <c r="K360" s="3" t="s">
        <v>6812</v>
      </c>
      <c r="L360" s="8" t="str">
        <f>HYPERLINK("http://slimages.macys.com/is/image/MCY/10454849 ")</f>
        <v xml:space="preserve">http://slimages.macys.com/is/image/MCY/10454849 </v>
      </c>
    </row>
    <row r="361" spans="1:12" ht="24.75" x14ac:dyDescent="0.25">
      <c r="A361" s="6" t="s">
        <v>3349</v>
      </c>
      <c r="B361" s="3" t="s">
        <v>3350</v>
      </c>
      <c r="C361" s="4">
        <v>1</v>
      </c>
      <c r="D361" s="5">
        <v>12.98</v>
      </c>
      <c r="E361" s="4" t="s">
        <v>3351</v>
      </c>
      <c r="F361" s="3" t="s">
        <v>5532</v>
      </c>
      <c r="G361" s="7" t="s">
        <v>5596</v>
      </c>
      <c r="H361" s="3" t="s">
        <v>6019</v>
      </c>
      <c r="I361" s="3" t="s">
        <v>6835</v>
      </c>
      <c r="J361" s="3" t="s">
        <v>5536</v>
      </c>
      <c r="K361" s="3" t="s">
        <v>5574</v>
      </c>
      <c r="L361" s="8" t="str">
        <f>HYPERLINK("http://slimages.macys.com/is/image/MCY/15628622 ")</f>
        <v xml:space="preserve">http://slimages.macys.com/is/image/MCY/15628622 </v>
      </c>
    </row>
    <row r="362" spans="1:12" ht="24.75" x14ac:dyDescent="0.25">
      <c r="A362" s="6" t="s">
        <v>6851</v>
      </c>
      <c r="B362" s="3" t="s">
        <v>6852</v>
      </c>
      <c r="C362" s="4">
        <v>1</v>
      </c>
      <c r="D362" s="5">
        <v>13.99</v>
      </c>
      <c r="E362" s="4" t="s">
        <v>6853</v>
      </c>
      <c r="F362" s="3" t="s">
        <v>5783</v>
      </c>
      <c r="G362" s="7" t="s">
        <v>6848</v>
      </c>
      <c r="H362" s="3" t="s">
        <v>5794</v>
      </c>
      <c r="I362" s="3" t="s">
        <v>6849</v>
      </c>
      <c r="J362" s="3" t="s">
        <v>5536</v>
      </c>
      <c r="K362" s="3" t="s">
        <v>6850</v>
      </c>
      <c r="L362" s="8" t="str">
        <f>HYPERLINK("http://slimages.macys.com/is/image/MCY/14840691 ")</f>
        <v xml:space="preserve">http://slimages.macys.com/is/image/MCY/14840691 </v>
      </c>
    </row>
    <row r="363" spans="1:12" ht="24.75" x14ac:dyDescent="0.25">
      <c r="A363" s="6" t="s">
        <v>3352</v>
      </c>
      <c r="B363" s="3" t="s">
        <v>6846</v>
      </c>
      <c r="C363" s="4">
        <v>1</v>
      </c>
      <c r="D363" s="5">
        <v>13.99</v>
      </c>
      <c r="E363" s="4" t="s">
        <v>6847</v>
      </c>
      <c r="F363" s="3" t="s">
        <v>5783</v>
      </c>
      <c r="G363" s="7" t="s">
        <v>6848</v>
      </c>
      <c r="H363" s="3" t="s">
        <v>5794</v>
      </c>
      <c r="I363" s="3" t="s">
        <v>6849</v>
      </c>
      <c r="J363" s="3" t="s">
        <v>5536</v>
      </c>
      <c r="K363" s="3" t="s">
        <v>6850</v>
      </c>
      <c r="L363" s="8" t="str">
        <f>HYPERLINK("http://slimages.macys.com/is/image/MCY/14816336 ")</f>
        <v xml:space="preserve">http://slimages.macys.com/is/image/MCY/14816336 </v>
      </c>
    </row>
    <row r="364" spans="1:12" ht="36.75" x14ac:dyDescent="0.25">
      <c r="A364" s="6" t="s">
        <v>6887</v>
      </c>
      <c r="B364" s="3" t="s">
        <v>6888</v>
      </c>
      <c r="C364" s="4">
        <v>1</v>
      </c>
      <c r="D364" s="5">
        <v>9.98</v>
      </c>
      <c r="E364" s="4" t="s">
        <v>6889</v>
      </c>
      <c r="F364" s="3" t="s">
        <v>5532</v>
      </c>
      <c r="G364" s="7"/>
      <c r="H364" s="3" t="s">
        <v>6805</v>
      </c>
      <c r="I364" s="3" t="s">
        <v>6806</v>
      </c>
      <c r="J364" s="3" t="s">
        <v>5536</v>
      </c>
      <c r="K364" s="3" t="s">
        <v>6890</v>
      </c>
      <c r="L364" s="8" t="str">
        <f>HYPERLINK("http://slimages.macys.com/is/image/MCY/11834643 ")</f>
        <v xml:space="preserve">http://slimages.macys.com/is/image/MCY/11834643 </v>
      </c>
    </row>
    <row r="365" spans="1:12" ht="24.75" x14ac:dyDescent="0.25">
      <c r="A365" s="6" t="s">
        <v>3353</v>
      </c>
      <c r="B365" s="3" t="s">
        <v>3354</v>
      </c>
      <c r="C365" s="4">
        <v>1</v>
      </c>
      <c r="D365" s="5">
        <v>15.99</v>
      </c>
      <c r="E365" s="4" t="s">
        <v>3355</v>
      </c>
      <c r="F365" s="3" t="s">
        <v>5540</v>
      </c>
      <c r="G365" s="7" t="s">
        <v>5898</v>
      </c>
      <c r="H365" s="3" t="s">
        <v>6805</v>
      </c>
      <c r="I365" s="3" t="s">
        <v>6795</v>
      </c>
      <c r="J365" s="3" t="s">
        <v>5536</v>
      </c>
      <c r="K365" s="3" t="s">
        <v>3356</v>
      </c>
      <c r="L365" s="8" t="str">
        <f>HYPERLINK("http://slimages.macys.com/is/image/MCY/12465134 ")</f>
        <v xml:space="preserve">http://slimages.macys.com/is/image/MCY/12465134 </v>
      </c>
    </row>
    <row r="366" spans="1:12" ht="24.75" x14ac:dyDescent="0.25">
      <c r="A366" s="6" t="s">
        <v>3357</v>
      </c>
      <c r="B366" s="3" t="s">
        <v>3358</v>
      </c>
      <c r="C366" s="4">
        <v>2</v>
      </c>
      <c r="D366" s="5">
        <v>31.98</v>
      </c>
      <c r="E366" s="4" t="s">
        <v>3359</v>
      </c>
      <c r="F366" s="3"/>
      <c r="G366" s="7" t="s">
        <v>5898</v>
      </c>
      <c r="H366" s="3" t="s">
        <v>6805</v>
      </c>
      <c r="I366" s="3" t="s">
        <v>6795</v>
      </c>
      <c r="J366" s="3" t="s">
        <v>5536</v>
      </c>
      <c r="K366" s="3" t="s">
        <v>5587</v>
      </c>
      <c r="L366" s="8" t="str">
        <f>HYPERLINK("http://slimages.macys.com/is/image/MCY/9834364 ")</f>
        <v xml:space="preserve">http://slimages.macys.com/is/image/MCY/9834364 </v>
      </c>
    </row>
    <row r="367" spans="1:12" ht="24.75" x14ac:dyDescent="0.25">
      <c r="A367" s="6" t="s">
        <v>3360</v>
      </c>
      <c r="B367" s="3" t="s">
        <v>3361</v>
      </c>
      <c r="C367" s="4">
        <v>1</v>
      </c>
      <c r="D367" s="5">
        <v>15.99</v>
      </c>
      <c r="E367" s="4" t="s">
        <v>3362</v>
      </c>
      <c r="F367" s="3" t="s">
        <v>5540</v>
      </c>
      <c r="G367" s="7" t="s">
        <v>5898</v>
      </c>
      <c r="H367" s="3" t="s">
        <v>6805</v>
      </c>
      <c r="I367" s="3" t="s">
        <v>6795</v>
      </c>
      <c r="J367" s="3" t="s">
        <v>5536</v>
      </c>
      <c r="K367" s="3" t="s">
        <v>5587</v>
      </c>
      <c r="L367" s="8" t="str">
        <f>HYPERLINK("http://slimages.macys.com/is/image/MCY/9256168 ")</f>
        <v xml:space="preserve">http://slimages.macys.com/is/image/MCY/9256168 </v>
      </c>
    </row>
    <row r="368" spans="1:12" ht="24.75" x14ac:dyDescent="0.25">
      <c r="A368" s="6" t="s">
        <v>3363</v>
      </c>
      <c r="B368" s="3" t="s">
        <v>4064</v>
      </c>
      <c r="C368" s="4">
        <v>1</v>
      </c>
      <c r="D368" s="5">
        <v>12</v>
      </c>
      <c r="E368" s="4" t="s">
        <v>3364</v>
      </c>
      <c r="F368" s="3" t="s">
        <v>5552</v>
      </c>
      <c r="G368" s="7"/>
      <c r="H368" s="3" t="s">
        <v>6805</v>
      </c>
      <c r="I368" s="3" t="s">
        <v>6907</v>
      </c>
      <c r="J368" s="3" t="s">
        <v>5536</v>
      </c>
      <c r="K368" s="3" t="s">
        <v>3365</v>
      </c>
      <c r="L368" s="8" t="str">
        <f>HYPERLINK("http://slimages.macys.com/is/image/MCY/13901960 ")</f>
        <v xml:space="preserve">http://slimages.macys.com/is/image/MCY/13901960 </v>
      </c>
    </row>
    <row r="369" spans="1:12" ht="24.75" x14ac:dyDescent="0.25">
      <c r="A369" s="6" t="s">
        <v>3366</v>
      </c>
      <c r="B369" s="3" t="s">
        <v>3367</v>
      </c>
      <c r="C369" s="4">
        <v>1</v>
      </c>
      <c r="D369" s="5">
        <v>24.5</v>
      </c>
      <c r="E369" s="4">
        <v>100063515</v>
      </c>
      <c r="F369" s="3" t="s">
        <v>5714</v>
      </c>
      <c r="G369" s="7" t="s">
        <v>5598</v>
      </c>
      <c r="H369" s="3" t="s">
        <v>5585</v>
      </c>
      <c r="I369" s="3" t="s">
        <v>5734</v>
      </c>
      <c r="J369" s="3" t="s">
        <v>5536</v>
      </c>
      <c r="K369" s="3" t="s">
        <v>5574</v>
      </c>
      <c r="L369" s="8" t="str">
        <f>HYPERLINK("http://slimages.macys.com/is/image/MCY/14629924 ")</f>
        <v xml:space="preserve">http://slimages.macys.com/is/image/MCY/14629924 </v>
      </c>
    </row>
    <row r="370" spans="1:12" x14ac:dyDescent="0.25">
      <c r="A370" s="6" t="s">
        <v>3368</v>
      </c>
      <c r="B370" s="3" t="s">
        <v>3367</v>
      </c>
      <c r="C370" s="4">
        <v>1</v>
      </c>
      <c r="D370" s="5">
        <v>24.5</v>
      </c>
      <c r="E370" s="4">
        <v>100063515</v>
      </c>
      <c r="F370" s="3" t="s">
        <v>5783</v>
      </c>
      <c r="G370" s="7" t="s">
        <v>5596</v>
      </c>
      <c r="H370" s="3" t="s">
        <v>5585</v>
      </c>
      <c r="I370" s="3" t="s">
        <v>5734</v>
      </c>
      <c r="J370" s="3" t="s">
        <v>5536</v>
      </c>
      <c r="K370" s="3" t="s">
        <v>5574</v>
      </c>
      <c r="L370" s="8" t="str">
        <f>HYPERLINK("http://slimages.macys.com/is/image/MCY/13950034 ")</f>
        <v xml:space="preserve">http://slimages.macys.com/is/image/MCY/13950034 </v>
      </c>
    </row>
    <row r="371" spans="1:12" ht="24.75" x14ac:dyDescent="0.25">
      <c r="A371" s="6" t="s">
        <v>3369</v>
      </c>
      <c r="B371" s="3" t="s">
        <v>3370</v>
      </c>
      <c r="C371" s="4">
        <v>3</v>
      </c>
      <c r="D371" s="5">
        <v>30</v>
      </c>
      <c r="E371" s="4" t="s">
        <v>3371</v>
      </c>
      <c r="F371" s="3" t="s">
        <v>5532</v>
      </c>
      <c r="G371" s="7"/>
      <c r="H371" s="3" t="s">
        <v>6805</v>
      </c>
      <c r="I371" s="3" t="s">
        <v>3372</v>
      </c>
      <c r="J371" s="3" t="s">
        <v>5536</v>
      </c>
      <c r="K371" s="3" t="s">
        <v>6885</v>
      </c>
      <c r="L371" s="8" t="str">
        <f>HYPERLINK("http://slimages.macys.com/is/image/MCY/9242189 ")</f>
        <v xml:space="preserve">http://slimages.macys.com/is/image/MCY/9242189 </v>
      </c>
    </row>
    <row r="372" spans="1:12" ht="36.75" x14ac:dyDescent="0.25">
      <c r="A372" s="6" t="s">
        <v>3373</v>
      </c>
      <c r="B372" s="3" t="s">
        <v>3374</v>
      </c>
      <c r="C372" s="4">
        <v>2</v>
      </c>
      <c r="D372" s="5">
        <v>20</v>
      </c>
      <c r="E372" s="4" t="s">
        <v>3375</v>
      </c>
      <c r="F372" s="3"/>
      <c r="G372" s="7"/>
      <c r="H372" s="3" t="s">
        <v>6805</v>
      </c>
      <c r="I372" s="3" t="s">
        <v>3372</v>
      </c>
      <c r="J372" s="3" t="s">
        <v>5536</v>
      </c>
      <c r="K372" s="3" t="s">
        <v>3376</v>
      </c>
      <c r="L372" s="8" t="str">
        <f>HYPERLINK("http://slimages.macys.com/is/image/MCY/11464492 ")</f>
        <v xml:space="preserve">http://slimages.macys.com/is/image/MCY/11464492 </v>
      </c>
    </row>
    <row r="373" spans="1:12" ht="36.75" x14ac:dyDescent="0.25">
      <c r="A373" s="6" t="s">
        <v>3377</v>
      </c>
      <c r="B373" s="3" t="s">
        <v>3378</v>
      </c>
      <c r="C373" s="4">
        <v>6</v>
      </c>
      <c r="D373" s="5">
        <v>60</v>
      </c>
      <c r="E373" s="4" t="s">
        <v>3379</v>
      </c>
      <c r="F373" s="3"/>
      <c r="G373" s="7"/>
      <c r="H373" s="3" t="s">
        <v>6805</v>
      </c>
      <c r="I373" s="3" t="s">
        <v>3372</v>
      </c>
      <c r="J373" s="3" t="s">
        <v>5536</v>
      </c>
      <c r="K373" s="3" t="s">
        <v>3380</v>
      </c>
      <c r="L373" s="8" t="str">
        <f>HYPERLINK("http://slimages.macys.com/is/image/MCY/9242233 ")</f>
        <v xml:space="preserve">http://slimages.macys.com/is/image/MCY/9242233 </v>
      </c>
    </row>
    <row r="374" spans="1:12" ht="132.75" x14ac:dyDescent="0.25">
      <c r="A374" s="6" t="s">
        <v>3381</v>
      </c>
      <c r="B374" s="3" t="s">
        <v>3382</v>
      </c>
      <c r="C374" s="4">
        <v>1</v>
      </c>
      <c r="D374" s="5">
        <v>6.67</v>
      </c>
      <c r="E374" s="4" t="s">
        <v>3383</v>
      </c>
      <c r="F374" s="3" t="s">
        <v>5532</v>
      </c>
      <c r="G374" s="7" t="s">
        <v>5898</v>
      </c>
      <c r="H374" s="3" t="s">
        <v>6805</v>
      </c>
      <c r="I374" s="3" t="s">
        <v>6795</v>
      </c>
      <c r="J374" s="3" t="s">
        <v>5536</v>
      </c>
      <c r="K374" s="3" t="s">
        <v>3384</v>
      </c>
      <c r="L374" s="8" t="str">
        <f>HYPERLINK("http://slimages.macys.com/is/image/MCY/14312039 ")</f>
        <v xml:space="preserve">http://slimages.macys.com/is/image/MCY/14312039 </v>
      </c>
    </row>
    <row r="375" spans="1:12" ht="24.75" x14ac:dyDescent="0.25">
      <c r="A375" s="6" t="s">
        <v>3385</v>
      </c>
      <c r="B375" s="3" t="s">
        <v>3386</v>
      </c>
      <c r="C375" s="4">
        <v>1</v>
      </c>
      <c r="D375" s="5">
        <v>6</v>
      </c>
      <c r="E375" s="4" t="s">
        <v>3387</v>
      </c>
      <c r="F375" s="3" t="s">
        <v>5783</v>
      </c>
      <c r="G375" s="7" t="s">
        <v>5898</v>
      </c>
      <c r="H375" s="3" t="s">
        <v>6632</v>
      </c>
      <c r="I375" s="3" t="s">
        <v>6633</v>
      </c>
      <c r="J375" s="3" t="s">
        <v>5536</v>
      </c>
      <c r="K375" s="3" t="s">
        <v>6952</v>
      </c>
      <c r="L375" s="8" t="str">
        <f>HYPERLINK("http://slimages.macys.com/is/image/MCY/14346650 ")</f>
        <v xml:space="preserve">http://slimages.macys.com/is/image/MCY/14346650 </v>
      </c>
    </row>
    <row r="376" spans="1:12" ht="24.75" x14ac:dyDescent="0.25">
      <c r="A376" s="6" t="s">
        <v>6946</v>
      </c>
      <c r="B376" s="3" t="s">
        <v>6947</v>
      </c>
      <c r="C376" s="4">
        <v>7</v>
      </c>
      <c r="D376" s="5">
        <v>42</v>
      </c>
      <c r="E376" s="4" t="s">
        <v>6948</v>
      </c>
      <c r="F376" s="3" t="s">
        <v>5532</v>
      </c>
      <c r="G376" s="7" t="s">
        <v>5898</v>
      </c>
      <c r="H376" s="3" t="s">
        <v>6632</v>
      </c>
      <c r="I376" s="3" t="s">
        <v>6633</v>
      </c>
      <c r="J376" s="3" t="s">
        <v>5536</v>
      </c>
      <c r="K376" s="3" t="s">
        <v>6634</v>
      </c>
      <c r="L376" s="8" t="str">
        <f>HYPERLINK("http://slimages.macys.com/is/image/MCY/14346677 ")</f>
        <v xml:space="preserve">http://slimages.macys.com/is/image/MCY/14346677 </v>
      </c>
    </row>
    <row r="377" spans="1:12" ht="24.75" x14ac:dyDescent="0.25">
      <c r="A377" s="6" t="s">
        <v>2612</v>
      </c>
      <c r="B377" s="3" t="s">
        <v>2613</v>
      </c>
      <c r="C377" s="4">
        <v>1</v>
      </c>
      <c r="D377" s="5">
        <v>6</v>
      </c>
      <c r="E377" s="4" t="s">
        <v>2614</v>
      </c>
      <c r="F377" s="3" t="s">
        <v>5540</v>
      </c>
      <c r="G377" s="7" t="s">
        <v>5898</v>
      </c>
      <c r="H377" s="3" t="s">
        <v>6632</v>
      </c>
      <c r="I377" s="3" t="s">
        <v>6633</v>
      </c>
      <c r="J377" s="3" t="s">
        <v>5536</v>
      </c>
      <c r="K377" s="3" t="s">
        <v>6634</v>
      </c>
      <c r="L377" s="8" t="str">
        <f>HYPERLINK("http://slimages.macys.com/is/image/MCY/14346524 ")</f>
        <v xml:space="preserve">http://slimages.macys.com/is/image/MCY/14346524 </v>
      </c>
    </row>
    <row r="378" spans="1:12" ht="24.75" x14ac:dyDescent="0.25">
      <c r="A378" s="6" t="s">
        <v>3388</v>
      </c>
      <c r="B378" s="3" t="s">
        <v>3389</v>
      </c>
      <c r="C378" s="4">
        <v>3</v>
      </c>
      <c r="D378" s="5">
        <v>18</v>
      </c>
      <c r="E378" s="4">
        <v>100090197</v>
      </c>
      <c r="F378" s="3" t="s">
        <v>5532</v>
      </c>
      <c r="G378" s="7" t="s">
        <v>5898</v>
      </c>
      <c r="H378" s="3" t="s">
        <v>6632</v>
      </c>
      <c r="I378" s="3" t="s">
        <v>6633</v>
      </c>
      <c r="J378" s="3" t="s">
        <v>5536</v>
      </c>
      <c r="K378" s="3" t="s">
        <v>6634</v>
      </c>
      <c r="L378" s="8" t="str">
        <f>HYPERLINK("http://slimages.macys.com/is/image/MCY/15967411 ")</f>
        <v xml:space="preserve">http://slimages.macys.com/is/image/MCY/15967411 </v>
      </c>
    </row>
    <row r="379" spans="1:12" ht="24.75" x14ac:dyDescent="0.25">
      <c r="A379" s="6" t="s">
        <v>2643</v>
      </c>
      <c r="B379" s="3" t="s">
        <v>2644</v>
      </c>
      <c r="C379" s="4">
        <v>11</v>
      </c>
      <c r="D379" s="5">
        <v>55</v>
      </c>
      <c r="E379" s="4" t="s">
        <v>2645</v>
      </c>
      <c r="F379" s="3" t="s">
        <v>5661</v>
      </c>
      <c r="G379" s="7" t="s">
        <v>5898</v>
      </c>
      <c r="H379" s="3" t="s">
        <v>6632</v>
      </c>
      <c r="I379" s="3" t="s">
        <v>6969</v>
      </c>
      <c r="J379" s="3" t="s">
        <v>5536</v>
      </c>
      <c r="K379" s="3" t="s">
        <v>6970</v>
      </c>
      <c r="L379" s="8" t="str">
        <f>HYPERLINK("http://slimages.macys.com/is/image/MCY/15501732 ")</f>
        <v xml:space="preserve">http://slimages.macys.com/is/image/MCY/15501732 </v>
      </c>
    </row>
    <row r="380" spans="1:12" ht="24.75" x14ac:dyDescent="0.25">
      <c r="A380" s="6" t="s">
        <v>3390</v>
      </c>
      <c r="B380" s="3" t="s">
        <v>2637</v>
      </c>
      <c r="C380" s="4">
        <v>4</v>
      </c>
      <c r="D380" s="5">
        <v>20</v>
      </c>
      <c r="E380" s="4" t="s">
        <v>2638</v>
      </c>
      <c r="F380" s="3" t="s">
        <v>5540</v>
      </c>
      <c r="G380" s="7" t="s">
        <v>5898</v>
      </c>
      <c r="H380" s="3" t="s">
        <v>6632</v>
      </c>
      <c r="I380" s="3" t="s">
        <v>6969</v>
      </c>
      <c r="J380" s="3" t="s">
        <v>5536</v>
      </c>
      <c r="K380" s="3" t="s">
        <v>6970</v>
      </c>
      <c r="L380" s="8" t="str">
        <f>HYPERLINK("http://slimages.macys.com/is/image/MCY/15501726 ")</f>
        <v xml:space="preserve">http://slimages.macys.com/is/image/MCY/15501726 </v>
      </c>
    </row>
    <row r="381" spans="1:12" ht="24.75" x14ac:dyDescent="0.25">
      <c r="A381" s="6" t="s">
        <v>3391</v>
      </c>
      <c r="B381" s="3" t="s">
        <v>7012</v>
      </c>
      <c r="C381" s="4">
        <v>7</v>
      </c>
      <c r="D381" s="5">
        <v>35</v>
      </c>
      <c r="E381" s="4" t="s">
        <v>7013</v>
      </c>
      <c r="F381" s="3" t="s">
        <v>5540</v>
      </c>
      <c r="G381" s="7" t="s">
        <v>5898</v>
      </c>
      <c r="H381" s="3" t="s">
        <v>6632</v>
      </c>
      <c r="I381" s="3" t="s">
        <v>6969</v>
      </c>
      <c r="J381" s="3" t="s">
        <v>5536</v>
      </c>
      <c r="K381" s="3" t="s">
        <v>7014</v>
      </c>
      <c r="L381" s="8" t="str">
        <f>HYPERLINK("http://slimages.macys.com/is/image/MCY/15501722 ")</f>
        <v xml:space="preserve">http://slimages.macys.com/is/image/MCY/15501722 </v>
      </c>
    </row>
    <row r="382" spans="1:12" ht="24.75" x14ac:dyDescent="0.25">
      <c r="A382" s="6" t="s">
        <v>2636</v>
      </c>
      <c r="B382" s="3" t="s">
        <v>2637</v>
      </c>
      <c r="C382" s="4">
        <v>3</v>
      </c>
      <c r="D382" s="5">
        <v>15</v>
      </c>
      <c r="E382" s="4" t="s">
        <v>2638</v>
      </c>
      <c r="F382" s="3" t="s">
        <v>5532</v>
      </c>
      <c r="G382" s="7" t="s">
        <v>5898</v>
      </c>
      <c r="H382" s="3" t="s">
        <v>6632</v>
      </c>
      <c r="I382" s="3" t="s">
        <v>6969</v>
      </c>
      <c r="J382" s="3" t="s">
        <v>5536</v>
      </c>
      <c r="K382" s="3" t="s">
        <v>6970</v>
      </c>
      <c r="L382" s="8" t="str">
        <f>HYPERLINK("http://slimages.macys.com/is/image/MCY/15501726 ")</f>
        <v xml:space="preserve">http://slimages.macys.com/is/image/MCY/15501726 </v>
      </c>
    </row>
    <row r="383" spans="1:12" ht="24.75" x14ac:dyDescent="0.25">
      <c r="A383" s="6" t="s">
        <v>2646</v>
      </c>
      <c r="B383" s="3" t="s">
        <v>2630</v>
      </c>
      <c r="C383" s="4">
        <v>14</v>
      </c>
      <c r="D383" s="5">
        <v>70</v>
      </c>
      <c r="E383" s="4" t="s">
        <v>2631</v>
      </c>
      <c r="F383" s="3" t="s">
        <v>5540</v>
      </c>
      <c r="G383" s="7" t="s">
        <v>5898</v>
      </c>
      <c r="H383" s="3" t="s">
        <v>6632</v>
      </c>
      <c r="I383" s="3" t="s">
        <v>6969</v>
      </c>
      <c r="J383" s="3" t="s">
        <v>5536</v>
      </c>
      <c r="K383" s="3" t="s">
        <v>6990</v>
      </c>
      <c r="L383" s="8" t="str">
        <f>HYPERLINK("http://slimages.macys.com/is/image/MCY/15668373 ")</f>
        <v xml:space="preserve">http://slimages.macys.com/is/image/MCY/15668373 </v>
      </c>
    </row>
    <row r="384" spans="1:12" ht="24.75" x14ac:dyDescent="0.25">
      <c r="A384" s="6" t="s">
        <v>3392</v>
      </c>
      <c r="B384" s="3" t="s">
        <v>3393</v>
      </c>
      <c r="C384" s="4">
        <v>7</v>
      </c>
      <c r="D384" s="5">
        <v>35</v>
      </c>
      <c r="E384" s="4" t="s">
        <v>3394</v>
      </c>
      <c r="F384" s="3" t="s">
        <v>7010</v>
      </c>
      <c r="G384" s="7" t="s">
        <v>5898</v>
      </c>
      <c r="H384" s="3" t="s">
        <v>6632</v>
      </c>
      <c r="I384" s="3" t="s">
        <v>6969</v>
      </c>
      <c r="J384" s="3" t="s">
        <v>5536</v>
      </c>
      <c r="K384" s="3" t="s">
        <v>6970</v>
      </c>
      <c r="L384" s="8" t="str">
        <f>HYPERLINK("http://slimages.macys.com/is/image/MCY/15668450 ")</f>
        <v xml:space="preserve">http://slimages.macys.com/is/image/MCY/15668450 </v>
      </c>
    </row>
    <row r="385" spans="1:12" ht="24.75" x14ac:dyDescent="0.25">
      <c r="A385" s="6" t="s">
        <v>3395</v>
      </c>
      <c r="B385" s="3" t="s">
        <v>3393</v>
      </c>
      <c r="C385" s="4">
        <v>17</v>
      </c>
      <c r="D385" s="5">
        <v>85</v>
      </c>
      <c r="E385" s="4" t="s">
        <v>3394</v>
      </c>
      <c r="F385" s="3" t="s">
        <v>5604</v>
      </c>
      <c r="G385" s="7" t="s">
        <v>5898</v>
      </c>
      <c r="H385" s="3" t="s">
        <v>6632</v>
      </c>
      <c r="I385" s="3" t="s">
        <v>6969</v>
      </c>
      <c r="J385" s="3" t="s">
        <v>5536</v>
      </c>
      <c r="K385" s="3" t="s">
        <v>6970</v>
      </c>
      <c r="L385" s="8" t="str">
        <f>HYPERLINK("http://slimages.macys.com/is/image/MCY/15668450 ")</f>
        <v xml:space="preserve">http://slimages.macys.com/is/image/MCY/15668450 </v>
      </c>
    </row>
    <row r="386" spans="1:12" ht="24.75" x14ac:dyDescent="0.25">
      <c r="A386" s="6" t="s">
        <v>2640</v>
      </c>
      <c r="B386" s="3" t="s">
        <v>2641</v>
      </c>
      <c r="C386" s="4">
        <v>20</v>
      </c>
      <c r="D386" s="5">
        <v>100</v>
      </c>
      <c r="E386" s="4" t="s">
        <v>2642</v>
      </c>
      <c r="F386" s="3" t="s">
        <v>5604</v>
      </c>
      <c r="G386" s="7" t="s">
        <v>5898</v>
      </c>
      <c r="H386" s="3" t="s">
        <v>6632</v>
      </c>
      <c r="I386" s="3" t="s">
        <v>6969</v>
      </c>
      <c r="J386" s="3" t="s">
        <v>5536</v>
      </c>
      <c r="K386" s="3" t="s">
        <v>7004</v>
      </c>
      <c r="L386" s="8" t="str">
        <f>HYPERLINK("http://slimages.macys.com/is/image/MCY/15668362 ")</f>
        <v xml:space="preserve">http://slimages.macys.com/is/image/MCY/15668362 </v>
      </c>
    </row>
    <row r="387" spans="1:12" ht="24.75" x14ac:dyDescent="0.25">
      <c r="A387" s="6" t="s">
        <v>6996</v>
      </c>
      <c r="B387" s="3" t="s">
        <v>6985</v>
      </c>
      <c r="C387" s="4">
        <v>1</v>
      </c>
      <c r="D387" s="5">
        <v>5</v>
      </c>
      <c r="E387" s="4" t="s">
        <v>6986</v>
      </c>
      <c r="F387" s="3" t="s">
        <v>5532</v>
      </c>
      <c r="G387" s="7" t="s">
        <v>5898</v>
      </c>
      <c r="H387" s="3" t="s">
        <v>6632</v>
      </c>
      <c r="I387" s="3" t="s">
        <v>6969</v>
      </c>
      <c r="J387" s="3" t="s">
        <v>5536</v>
      </c>
      <c r="K387" s="3" t="s">
        <v>6974</v>
      </c>
      <c r="L387" s="8" t="str">
        <f>HYPERLINK("http://slimages.macys.com/is/image/MCY/9843724 ")</f>
        <v xml:space="preserve">http://slimages.macys.com/is/image/MCY/9843724 </v>
      </c>
    </row>
    <row r="388" spans="1:12" ht="24.75" x14ac:dyDescent="0.25">
      <c r="A388" s="6" t="s">
        <v>2639</v>
      </c>
      <c r="B388" s="3" t="s">
        <v>2633</v>
      </c>
      <c r="C388" s="4">
        <v>13</v>
      </c>
      <c r="D388" s="5">
        <v>65</v>
      </c>
      <c r="E388" s="4" t="s">
        <v>2634</v>
      </c>
      <c r="F388" s="3" t="s">
        <v>5661</v>
      </c>
      <c r="G388" s="7" t="s">
        <v>5898</v>
      </c>
      <c r="H388" s="3" t="s">
        <v>6632</v>
      </c>
      <c r="I388" s="3" t="s">
        <v>6969</v>
      </c>
      <c r="J388" s="3" t="s">
        <v>5536</v>
      </c>
      <c r="K388" s="3" t="s">
        <v>2635</v>
      </c>
      <c r="L388" s="8" t="str">
        <f>HYPERLINK("http://slimages.macys.com/is/image/MCY/15668355 ")</f>
        <v xml:space="preserve">http://slimages.macys.com/is/image/MCY/15668355 </v>
      </c>
    </row>
    <row r="389" spans="1:12" ht="24.75" x14ac:dyDescent="0.25">
      <c r="A389" s="6" t="s">
        <v>6984</v>
      </c>
      <c r="B389" s="3" t="s">
        <v>6985</v>
      </c>
      <c r="C389" s="4">
        <v>1</v>
      </c>
      <c r="D389" s="5">
        <v>5</v>
      </c>
      <c r="E389" s="4" t="s">
        <v>6986</v>
      </c>
      <c r="F389" s="3" t="s">
        <v>5745</v>
      </c>
      <c r="G389" s="7" t="s">
        <v>5898</v>
      </c>
      <c r="H389" s="3" t="s">
        <v>6632</v>
      </c>
      <c r="I389" s="3" t="s">
        <v>6969</v>
      </c>
      <c r="J389" s="3" t="s">
        <v>5536</v>
      </c>
      <c r="K389" s="3" t="s">
        <v>6974</v>
      </c>
      <c r="L389" s="8" t="str">
        <f>HYPERLINK("http://slimages.macys.com/is/image/MCY/9843724 ")</f>
        <v xml:space="preserve">http://slimages.macys.com/is/image/MCY/9843724 </v>
      </c>
    </row>
    <row r="390" spans="1:12" ht="24.75" x14ac:dyDescent="0.25">
      <c r="A390" s="6" t="s">
        <v>2629</v>
      </c>
      <c r="B390" s="3" t="s">
        <v>2630</v>
      </c>
      <c r="C390" s="4">
        <v>20</v>
      </c>
      <c r="D390" s="5">
        <v>100</v>
      </c>
      <c r="E390" s="4" t="s">
        <v>2631</v>
      </c>
      <c r="F390" s="3" t="s">
        <v>5604</v>
      </c>
      <c r="G390" s="7" t="s">
        <v>5898</v>
      </c>
      <c r="H390" s="3" t="s">
        <v>6632</v>
      </c>
      <c r="I390" s="3" t="s">
        <v>6969</v>
      </c>
      <c r="J390" s="3" t="s">
        <v>5536</v>
      </c>
      <c r="K390" s="3" t="s">
        <v>6990</v>
      </c>
      <c r="L390" s="8" t="str">
        <f>HYPERLINK("http://slimages.macys.com/is/image/MCY/15668373 ")</f>
        <v xml:space="preserve">http://slimages.macys.com/is/image/MCY/15668373 </v>
      </c>
    </row>
    <row r="391" spans="1:12" ht="24.75" x14ac:dyDescent="0.25">
      <c r="A391" s="6" t="s">
        <v>2632</v>
      </c>
      <c r="B391" s="3" t="s">
        <v>2633</v>
      </c>
      <c r="C391" s="4">
        <v>15</v>
      </c>
      <c r="D391" s="5">
        <v>75</v>
      </c>
      <c r="E391" s="4" t="s">
        <v>2634</v>
      </c>
      <c r="F391" s="3" t="s">
        <v>5540</v>
      </c>
      <c r="G391" s="7" t="s">
        <v>5898</v>
      </c>
      <c r="H391" s="3" t="s">
        <v>6632</v>
      </c>
      <c r="I391" s="3" t="s">
        <v>6969</v>
      </c>
      <c r="J391" s="3" t="s">
        <v>5536</v>
      </c>
      <c r="K391" s="3" t="s">
        <v>2635</v>
      </c>
      <c r="L391" s="8" t="str">
        <f>HYPERLINK("http://slimages.macys.com/is/image/MCY/15668355 ")</f>
        <v xml:space="preserve">http://slimages.macys.com/is/image/MCY/15668355 </v>
      </c>
    </row>
    <row r="392" spans="1:12" ht="24.75" x14ac:dyDescent="0.25">
      <c r="A392" s="6" t="s">
        <v>7015</v>
      </c>
      <c r="B392" s="3" t="s">
        <v>7016</v>
      </c>
      <c r="C392" s="4">
        <v>1</v>
      </c>
      <c r="D392" s="5">
        <v>5</v>
      </c>
      <c r="E392" s="4">
        <v>100012398</v>
      </c>
      <c r="F392" s="3" t="s">
        <v>5661</v>
      </c>
      <c r="G392" s="7" t="s">
        <v>5898</v>
      </c>
      <c r="H392" s="3" t="s">
        <v>6632</v>
      </c>
      <c r="I392" s="3" t="s">
        <v>6969</v>
      </c>
      <c r="J392" s="3" t="s">
        <v>5536</v>
      </c>
      <c r="K392" s="3" t="s">
        <v>6970</v>
      </c>
      <c r="L392" s="8" t="str">
        <f>HYPERLINK("http://slimages.macys.com/is/image/MCY/9262440 ")</f>
        <v xml:space="preserve">http://slimages.macys.com/is/image/MCY/9262440 </v>
      </c>
    </row>
    <row r="393" spans="1:12" ht="24.75" x14ac:dyDescent="0.25">
      <c r="A393" s="6" t="s">
        <v>3396</v>
      </c>
      <c r="B393" s="3" t="s">
        <v>3397</v>
      </c>
      <c r="C393" s="4">
        <v>1</v>
      </c>
      <c r="D393" s="5">
        <v>24.99</v>
      </c>
      <c r="E393" s="4" t="s">
        <v>3398</v>
      </c>
      <c r="F393" s="3" t="s">
        <v>5815</v>
      </c>
      <c r="G393" s="7"/>
      <c r="H393" s="3" t="s">
        <v>6280</v>
      </c>
      <c r="I393" s="3" t="s">
        <v>4889</v>
      </c>
      <c r="J393" s="3"/>
      <c r="K393" s="3"/>
      <c r="L393" s="8"/>
    </row>
    <row r="394" spans="1:12" ht="24.75" x14ac:dyDescent="0.25">
      <c r="A394" s="6" t="s">
        <v>3399</v>
      </c>
      <c r="B394" s="3" t="s">
        <v>3400</v>
      </c>
      <c r="C394" s="4">
        <v>1</v>
      </c>
      <c r="D394" s="5">
        <v>14.99</v>
      </c>
      <c r="E394" s="4" t="s">
        <v>3401</v>
      </c>
      <c r="F394" s="3" t="s">
        <v>5566</v>
      </c>
      <c r="G394" s="7" t="s">
        <v>5898</v>
      </c>
      <c r="H394" s="3" t="s">
        <v>6280</v>
      </c>
      <c r="I394" s="3" t="s">
        <v>3402</v>
      </c>
      <c r="J394" s="3"/>
      <c r="K394" s="3"/>
      <c r="L394" s="8"/>
    </row>
    <row r="395" spans="1:12" ht="24.75" x14ac:dyDescent="0.25">
      <c r="A395" s="6" t="s">
        <v>3403</v>
      </c>
      <c r="B395" s="3" t="s">
        <v>3404</v>
      </c>
      <c r="C395" s="4">
        <v>1</v>
      </c>
      <c r="D395" s="5">
        <v>19.989999999999998</v>
      </c>
      <c r="E395" s="4" t="s">
        <v>3405</v>
      </c>
      <c r="F395" s="3" t="s">
        <v>6410</v>
      </c>
      <c r="G395" s="7" t="s">
        <v>6252</v>
      </c>
      <c r="H395" s="3" t="s">
        <v>6280</v>
      </c>
      <c r="I395" s="3" t="s">
        <v>2653</v>
      </c>
      <c r="J395" s="3"/>
      <c r="K395" s="3"/>
      <c r="L395" s="8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443"/>
  <sheetViews>
    <sheetView workbookViewId="0">
      <selection activeCell="E18" sqref="E18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5.425781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24.75" x14ac:dyDescent="0.25">
      <c r="A2" s="6" t="s">
        <v>3406</v>
      </c>
      <c r="B2" s="3" t="s">
        <v>3407</v>
      </c>
      <c r="C2" s="4">
        <v>1</v>
      </c>
      <c r="D2" s="5">
        <v>348</v>
      </c>
      <c r="E2" s="4" t="s">
        <v>3408</v>
      </c>
      <c r="F2" s="3" t="s">
        <v>6496</v>
      </c>
      <c r="G2" s="7" t="s">
        <v>5560</v>
      </c>
      <c r="H2" s="3" t="s">
        <v>5617</v>
      </c>
      <c r="I2" s="3" t="s">
        <v>5618</v>
      </c>
      <c r="J2" s="3" t="s">
        <v>5536</v>
      </c>
      <c r="K2" s="3" t="s">
        <v>5727</v>
      </c>
      <c r="L2" s="8" t="str">
        <f>HYPERLINK("http://slimages.macys.com/is/image/MCY/14383290 ")</f>
        <v xml:space="preserve">http://slimages.macys.com/is/image/MCY/14383290 </v>
      </c>
    </row>
    <row r="3" spans="1:12" ht="24.75" x14ac:dyDescent="0.25">
      <c r="A3" s="6" t="s">
        <v>3409</v>
      </c>
      <c r="B3" s="3" t="s">
        <v>3407</v>
      </c>
      <c r="C3" s="4">
        <v>1</v>
      </c>
      <c r="D3" s="5">
        <v>348</v>
      </c>
      <c r="E3" s="4" t="s">
        <v>3408</v>
      </c>
      <c r="F3" s="3" t="s">
        <v>6496</v>
      </c>
      <c r="G3" s="7" t="s">
        <v>5533</v>
      </c>
      <c r="H3" s="3" t="s">
        <v>5617</v>
      </c>
      <c r="I3" s="3" t="s">
        <v>5618</v>
      </c>
      <c r="J3" s="3" t="s">
        <v>5536</v>
      </c>
      <c r="K3" s="3" t="s">
        <v>5727</v>
      </c>
      <c r="L3" s="8" t="str">
        <f>HYPERLINK("http://slimages.macys.com/is/image/MCY/14383290 ")</f>
        <v xml:space="preserve">http://slimages.macys.com/is/image/MCY/14383290 </v>
      </c>
    </row>
    <row r="4" spans="1:12" ht="24.75" x14ac:dyDescent="0.25">
      <c r="A4" s="6" t="s">
        <v>3410</v>
      </c>
      <c r="B4" s="3" t="s">
        <v>3407</v>
      </c>
      <c r="C4" s="4">
        <v>1</v>
      </c>
      <c r="D4" s="5">
        <v>348</v>
      </c>
      <c r="E4" s="4" t="s">
        <v>3408</v>
      </c>
      <c r="F4" s="3" t="s">
        <v>6496</v>
      </c>
      <c r="G4" s="7" t="s">
        <v>5596</v>
      </c>
      <c r="H4" s="3" t="s">
        <v>5617</v>
      </c>
      <c r="I4" s="3" t="s">
        <v>5618</v>
      </c>
      <c r="J4" s="3" t="s">
        <v>5536</v>
      </c>
      <c r="K4" s="3" t="s">
        <v>5727</v>
      </c>
      <c r="L4" s="8" t="str">
        <f>HYPERLINK("http://slimages.macys.com/is/image/MCY/14383290 ")</f>
        <v xml:space="preserve">http://slimages.macys.com/is/image/MCY/14383290 </v>
      </c>
    </row>
    <row r="5" spans="1:12" ht="48.75" x14ac:dyDescent="0.25">
      <c r="A5" s="6" t="s">
        <v>3411</v>
      </c>
      <c r="B5" s="3" t="s">
        <v>3412</v>
      </c>
      <c r="C5" s="4">
        <v>1</v>
      </c>
      <c r="D5" s="5">
        <v>165</v>
      </c>
      <c r="E5" s="4" t="s">
        <v>3413</v>
      </c>
      <c r="F5" s="3" t="s">
        <v>5532</v>
      </c>
      <c r="G5" s="7" t="s">
        <v>4558</v>
      </c>
      <c r="H5" s="3" t="s">
        <v>4611</v>
      </c>
      <c r="I5" s="3" t="s">
        <v>4612</v>
      </c>
      <c r="J5" s="3" t="s">
        <v>5536</v>
      </c>
      <c r="K5" s="3" t="s">
        <v>3414</v>
      </c>
      <c r="L5" s="8" t="str">
        <f>HYPERLINK("http://slimages.macys.com/is/image/MCY/14601564 ")</f>
        <v xml:space="preserve">http://slimages.macys.com/is/image/MCY/14601564 </v>
      </c>
    </row>
    <row r="6" spans="1:12" ht="24.75" x14ac:dyDescent="0.25">
      <c r="A6" s="6" t="s">
        <v>3415</v>
      </c>
      <c r="B6" s="3" t="s">
        <v>3416</v>
      </c>
      <c r="C6" s="4">
        <v>2</v>
      </c>
      <c r="D6" s="5">
        <v>258</v>
      </c>
      <c r="E6" s="4" t="s">
        <v>3417</v>
      </c>
      <c r="F6" s="3" t="s">
        <v>5578</v>
      </c>
      <c r="G6" s="7" t="s">
        <v>5596</v>
      </c>
      <c r="H6" s="3" t="s">
        <v>3418</v>
      </c>
      <c r="I6" s="3" t="s">
        <v>3419</v>
      </c>
      <c r="J6" s="3" t="s">
        <v>5536</v>
      </c>
      <c r="K6" s="3" t="s">
        <v>3420</v>
      </c>
      <c r="L6" s="8" t="str">
        <f>HYPERLINK("http://slimages.macys.com/is/image/MCY/14532114 ")</f>
        <v xml:space="preserve">http://slimages.macys.com/is/image/MCY/14532114 </v>
      </c>
    </row>
    <row r="7" spans="1:12" ht="72.75" x14ac:dyDescent="0.25">
      <c r="A7" s="6" t="s">
        <v>3421</v>
      </c>
      <c r="B7" s="3" t="s">
        <v>3422</v>
      </c>
      <c r="C7" s="4">
        <v>1</v>
      </c>
      <c r="D7" s="5">
        <v>129</v>
      </c>
      <c r="E7" s="4" t="s">
        <v>3423</v>
      </c>
      <c r="F7" s="3" t="s">
        <v>5578</v>
      </c>
      <c r="G7" s="7" t="s">
        <v>5596</v>
      </c>
      <c r="H7" s="3" t="s">
        <v>3418</v>
      </c>
      <c r="I7" s="3" t="s">
        <v>3419</v>
      </c>
      <c r="J7" s="3" t="s">
        <v>5536</v>
      </c>
      <c r="K7" s="3" t="s">
        <v>3424</v>
      </c>
      <c r="L7" s="8" t="str">
        <f>HYPERLINK("http://slimages.macys.com/is/image/MCY/15445763 ")</f>
        <v xml:space="preserve">http://slimages.macys.com/is/image/MCY/15445763 </v>
      </c>
    </row>
    <row r="8" spans="1:12" ht="36.75" x14ac:dyDescent="0.25">
      <c r="A8" s="6" t="s">
        <v>3425</v>
      </c>
      <c r="B8" s="3" t="s">
        <v>3426</v>
      </c>
      <c r="C8" s="4">
        <v>1</v>
      </c>
      <c r="D8" s="5">
        <v>161.11000000000001</v>
      </c>
      <c r="E8" s="4" t="s">
        <v>3427</v>
      </c>
      <c r="F8" s="3" t="s">
        <v>5793</v>
      </c>
      <c r="G8" s="7" t="s">
        <v>4588</v>
      </c>
      <c r="H8" s="3" t="s">
        <v>7059</v>
      </c>
      <c r="I8" s="3" t="s">
        <v>7138</v>
      </c>
      <c r="J8" s="3" t="s">
        <v>5536</v>
      </c>
      <c r="K8" s="3" t="s">
        <v>7038</v>
      </c>
      <c r="L8" s="8" t="str">
        <f>HYPERLINK("http://slimages.macys.com/is/image/MCY/14434505 ")</f>
        <v xml:space="preserve">http://slimages.macys.com/is/image/MCY/14434505 </v>
      </c>
    </row>
    <row r="9" spans="1:12" ht="24.75" x14ac:dyDescent="0.25">
      <c r="A9" s="6" t="s">
        <v>3428</v>
      </c>
      <c r="B9" s="3" t="s">
        <v>3429</v>
      </c>
      <c r="C9" s="4">
        <v>1</v>
      </c>
      <c r="D9" s="5">
        <v>159.99</v>
      </c>
      <c r="E9" s="4" t="s">
        <v>3430</v>
      </c>
      <c r="F9" s="3" t="s">
        <v>5798</v>
      </c>
      <c r="G9" s="7" t="s">
        <v>5533</v>
      </c>
      <c r="H9" s="3" t="s">
        <v>4533</v>
      </c>
      <c r="I9" s="3" t="s">
        <v>3431</v>
      </c>
      <c r="J9" s="3" t="s">
        <v>5536</v>
      </c>
      <c r="K9" s="3" t="s">
        <v>3432</v>
      </c>
      <c r="L9" s="8" t="str">
        <f>HYPERLINK("http://slimages.macys.com/is/image/MCY/10006744 ")</f>
        <v xml:space="preserve">http://slimages.macys.com/is/image/MCY/10006744 </v>
      </c>
    </row>
    <row r="10" spans="1:12" ht="24.75" x14ac:dyDescent="0.25">
      <c r="A10" s="6" t="s">
        <v>3433</v>
      </c>
      <c r="B10" s="3" t="s">
        <v>3434</v>
      </c>
      <c r="C10" s="4">
        <v>1</v>
      </c>
      <c r="D10" s="5">
        <v>178</v>
      </c>
      <c r="E10" s="4">
        <v>5042110341000</v>
      </c>
      <c r="F10" s="3" t="s">
        <v>5532</v>
      </c>
      <c r="G10" s="7" t="s">
        <v>5596</v>
      </c>
      <c r="H10" s="3" t="s">
        <v>2658</v>
      </c>
      <c r="I10" s="3" t="s">
        <v>3435</v>
      </c>
      <c r="J10" s="3" t="s">
        <v>5536</v>
      </c>
      <c r="K10" s="3" t="s">
        <v>5965</v>
      </c>
      <c r="L10" s="8" t="str">
        <f>HYPERLINK("http://slimages.macys.com/is/image/MCY/15723624 ")</f>
        <v xml:space="preserve">http://slimages.macys.com/is/image/MCY/15723624 </v>
      </c>
    </row>
    <row r="11" spans="1:12" ht="24.75" x14ac:dyDescent="0.25">
      <c r="A11" s="6" t="s">
        <v>3436</v>
      </c>
      <c r="B11" s="3" t="s">
        <v>3437</v>
      </c>
      <c r="C11" s="4">
        <v>1</v>
      </c>
      <c r="D11" s="5">
        <v>125</v>
      </c>
      <c r="E11" s="4">
        <v>710766783002</v>
      </c>
      <c r="F11" s="3" t="s">
        <v>5625</v>
      </c>
      <c r="G11" s="7" t="s">
        <v>5533</v>
      </c>
      <c r="H11" s="3" t="s">
        <v>5534</v>
      </c>
      <c r="I11" s="3" t="s">
        <v>5535</v>
      </c>
      <c r="J11" s="3" t="s">
        <v>5536</v>
      </c>
      <c r="K11" s="3" t="s">
        <v>5594</v>
      </c>
      <c r="L11" s="8" t="str">
        <f>HYPERLINK("http://slimages.macys.com/is/image/MCY/16027057 ")</f>
        <v xml:space="preserve">http://slimages.macys.com/is/image/MCY/16027057 </v>
      </c>
    </row>
    <row r="12" spans="1:12" ht="36.75" x14ac:dyDescent="0.25">
      <c r="A12" s="6" t="s">
        <v>3438</v>
      </c>
      <c r="B12" s="3" t="s">
        <v>3439</v>
      </c>
      <c r="C12" s="4">
        <v>1</v>
      </c>
      <c r="D12" s="5">
        <v>99</v>
      </c>
      <c r="E12" s="4" t="s">
        <v>3440</v>
      </c>
      <c r="F12" s="3" t="s">
        <v>5977</v>
      </c>
      <c r="G12" s="7" t="s">
        <v>5596</v>
      </c>
      <c r="H12" s="3" t="s">
        <v>3418</v>
      </c>
      <c r="I12" s="3" t="s">
        <v>3419</v>
      </c>
      <c r="J12" s="3" t="s">
        <v>5536</v>
      </c>
      <c r="K12" s="3" t="s">
        <v>3441</v>
      </c>
      <c r="L12" s="8" t="str">
        <f>HYPERLINK("http://slimages.macys.com/is/image/MCY/13946981 ")</f>
        <v xml:space="preserve">http://slimages.macys.com/is/image/MCY/13946981 </v>
      </c>
    </row>
    <row r="13" spans="1:12" ht="48.75" x14ac:dyDescent="0.25">
      <c r="A13" s="6" t="s">
        <v>3442</v>
      </c>
      <c r="B13" s="3" t="s">
        <v>3443</v>
      </c>
      <c r="C13" s="4">
        <v>1</v>
      </c>
      <c r="D13" s="5">
        <v>99.99</v>
      </c>
      <c r="E13" s="4" t="s">
        <v>3444</v>
      </c>
      <c r="F13" s="3" t="s">
        <v>5849</v>
      </c>
      <c r="G13" s="7" t="s">
        <v>5533</v>
      </c>
      <c r="H13" s="3" t="s">
        <v>4533</v>
      </c>
      <c r="I13" s="3" t="s">
        <v>4534</v>
      </c>
      <c r="J13" s="3" t="s">
        <v>5536</v>
      </c>
      <c r="K13" s="3" t="s">
        <v>3445</v>
      </c>
      <c r="L13" s="8" t="str">
        <f>HYPERLINK("http://slimages.macys.com/is/image/MCY/9732074 ")</f>
        <v xml:space="preserve">http://slimages.macys.com/is/image/MCY/9732074 </v>
      </c>
    </row>
    <row r="14" spans="1:12" ht="60.75" x14ac:dyDescent="0.25">
      <c r="A14" s="6" t="s">
        <v>3446</v>
      </c>
      <c r="B14" s="3" t="s">
        <v>3447</v>
      </c>
      <c r="C14" s="4">
        <v>1</v>
      </c>
      <c r="D14" s="5">
        <v>119.99</v>
      </c>
      <c r="E14" s="4" t="s">
        <v>3448</v>
      </c>
      <c r="F14" s="3" t="s">
        <v>5803</v>
      </c>
      <c r="G14" s="7" t="s">
        <v>5598</v>
      </c>
      <c r="H14" s="3" t="s">
        <v>6065</v>
      </c>
      <c r="I14" s="3" t="s">
        <v>6066</v>
      </c>
      <c r="J14" s="3" t="s">
        <v>5536</v>
      </c>
      <c r="K14" s="3" t="s">
        <v>3449</v>
      </c>
      <c r="L14" s="8" t="str">
        <f>HYPERLINK("http://slimages.macys.com/is/image/MCY/10204609 ")</f>
        <v xml:space="preserve">http://slimages.macys.com/is/image/MCY/10204609 </v>
      </c>
    </row>
    <row r="15" spans="1:12" ht="24.75" x14ac:dyDescent="0.25">
      <c r="A15" s="6" t="s">
        <v>3450</v>
      </c>
      <c r="B15" s="3" t="s">
        <v>3451</v>
      </c>
      <c r="C15" s="4">
        <v>1</v>
      </c>
      <c r="D15" s="5">
        <v>99.99</v>
      </c>
      <c r="E15" s="4" t="s">
        <v>3452</v>
      </c>
      <c r="F15" s="3" t="s">
        <v>5546</v>
      </c>
      <c r="G15" s="7" t="s">
        <v>7103</v>
      </c>
      <c r="H15" s="3" t="s">
        <v>7053</v>
      </c>
      <c r="I15" s="3" t="s">
        <v>7054</v>
      </c>
      <c r="J15" s="3" t="s">
        <v>5536</v>
      </c>
      <c r="K15" s="3" t="s">
        <v>5727</v>
      </c>
      <c r="L15" s="8" t="str">
        <f>HYPERLINK("http://slimages.macys.com/is/image/MCY/3089557 ")</f>
        <v xml:space="preserve">http://slimages.macys.com/is/image/MCY/3089557 </v>
      </c>
    </row>
    <row r="16" spans="1:12" ht="24.75" x14ac:dyDescent="0.25">
      <c r="A16" s="6" t="s">
        <v>3453</v>
      </c>
      <c r="B16" s="3" t="s">
        <v>3454</v>
      </c>
      <c r="C16" s="4">
        <v>1</v>
      </c>
      <c r="D16" s="5">
        <v>98</v>
      </c>
      <c r="E16" s="4" t="s">
        <v>3455</v>
      </c>
      <c r="F16" s="3" t="s">
        <v>5803</v>
      </c>
      <c r="G16" s="7" t="s">
        <v>5598</v>
      </c>
      <c r="H16" s="3" t="s">
        <v>5617</v>
      </c>
      <c r="I16" s="3" t="s">
        <v>5618</v>
      </c>
      <c r="J16" s="3" t="s">
        <v>5536</v>
      </c>
      <c r="K16" s="3" t="s">
        <v>5727</v>
      </c>
      <c r="L16" s="8" t="str">
        <f>HYPERLINK("http://slimages.macys.com/is/image/MCY/8867594 ")</f>
        <v xml:space="preserve">http://slimages.macys.com/is/image/MCY/8867594 </v>
      </c>
    </row>
    <row r="17" spans="1:12" x14ac:dyDescent="0.25">
      <c r="A17" s="6" t="s">
        <v>3456</v>
      </c>
      <c r="B17" s="3" t="s">
        <v>7069</v>
      </c>
      <c r="C17" s="4">
        <v>2</v>
      </c>
      <c r="D17" s="5">
        <v>299</v>
      </c>
      <c r="E17" s="4">
        <v>100082462</v>
      </c>
      <c r="F17" s="3" t="s">
        <v>6335</v>
      </c>
      <c r="G17" s="7" t="s">
        <v>5598</v>
      </c>
      <c r="H17" s="3" t="s">
        <v>5585</v>
      </c>
      <c r="I17" s="3" t="s">
        <v>5586</v>
      </c>
      <c r="J17" s="3" t="s">
        <v>5536</v>
      </c>
      <c r="K17" s="3" t="s">
        <v>5587</v>
      </c>
      <c r="L17" s="8" t="str">
        <f>HYPERLINK("http://slimages.macys.com/is/image/MCY/15949399 ")</f>
        <v xml:space="preserve">http://slimages.macys.com/is/image/MCY/15949399 </v>
      </c>
    </row>
    <row r="18" spans="1:12" ht="24.75" x14ac:dyDescent="0.25">
      <c r="A18" s="6" t="s">
        <v>3457</v>
      </c>
      <c r="B18" s="3" t="s">
        <v>3458</v>
      </c>
      <c r="C18" s="4">
        <v>1</v>
      </c>
      <c r="D18" s="5">
        <v>75</v>
      </c>
      <c r="E18" s="4" t="s">
        <v>3459</v>
      </c>
      <c r="F18" s="3" t="s">
        <v>6275</v>
      </c>
      <c r="G18" s="7" t="s">
        <v>5562</v>
      </c>
      <c r="H18" s="3" t="s">
        <v>3418</v>
      </c>
      <c r="I18" s="3" t="s">
        <v>3419</v>
      </c>
      <c r="J18" s="3" t="s">
        <v>5536</v>
      </c>
      <c r="K18" s="3" t="s">
        <v>5594</v>
      </c>
      <c r="L18" s="8" t="str">
        <f>HYPERLINK("http://slimages.macys.com/is/image/MCY/15491945 ")</f>
        <v xml:space="preserve">http://slimages.macys.com/is/image/MCY/15491945 </v>
      </c>
    </row>
    <row r="19" spans="1:12" x14ac:dyDescent="0.25">
      <c r="A19" s="6" t="s">
        <v>7091</v>
      </c>
      <c r="B19" s="3" t="s">
        <v>7092</v>
      </c>
      <c r="C19" s="4">
        <v>1</v>
      </c>
      <c r="D19" s="5">
        <v>149.5</v>
      </c>
      <c r="E19" s="4" t="s">
        <v>7093</v>
      </c>
      <c r="F19" s="3" t="s">
        <v>5540</v>
      </c>
      <c r="G19" s="7" t="s">
        <v>5533</v>
      </c>
      <c r="H19" s="3" t="s">
        <v>5585</v>
      </c>
      <c r="I19" s="3" t="s">
        <v>5586</v>
      </c>
      <c r="J19" s="3" t="s">
        <v>5536</v>
      </c>
      <c r="K19" s="3" t="s">
        <v>5727</v>
      </c>
      <c r="L19" s="8" t="str">
        <f>HYPERLINK("http://slimages.macys.com/is/image/MCY/8877803 ")</f>
        <v xml:space="preserve">http://slimages.macys.com/is/image/MCY/8877803 </v>
      </c>
    </row>
    <row r="20" spans="1:12" ht="24.75" x14ac:dyDescent="0.25">
      <c r="A20" s="6" t="s">
        <v>3460</v>
      </c>
      <c r="B20" s="3" t="s">
        <v>3461</v>
      </c>
      <c r="C20" s="4">
        <v>1</v>
      </c>
      <c r="D20" s="5">
        <v>79.5</v>
      </c>
      <c r="E20" s="4" t="s">
        <v>3462</v>
      </c>
      <c r="F20" s="3"/>
      <c r="G20" s="7" t="s">
        <v>5560</v>
      </c>
      <c r="H20" s="3" t="s">
        <v>5715</v>
      </c>
      <c r="I20" s="3" t="s">
        <v>5716</v>
      </c>
      <c r="J20" s="3" t="s">
        <v>5536</v>
      </c>
      <c r="K20" s="3" t="s">
        <v>5594</v>
      </c>
      <c r="L20" s="8" t="str">
        <f>HYPERLINK("http://slimages.macys.com/is/image/MCY/15631019 ")</f>
        <v xml:space="preserve">http://slimages.macys.com/is/image/MCY/15631019 </v>
      </c>
    </row>
    <row r="21" spans="1:12" ht="24.75" x14ac:dyDescent="0.25">
      <c r="A21" s="6" t="s">
        <v>3463</v>
      </c>
      <c r="B21" s="3" t="s">
        <v>3464</v>
      </c>
      <c r="C21" s="4">
        <v>1</v>
      </c>
      <c r="D21" s="5">
        <v>75</v>
      </c>
      <c r="E21" s="4">
        <v>710684433047</v>
      </c>
      <c r="F21" s="3" t="s">
        <v>5661</v>
      </c>
      <c r="G21" s="7" t="s">
        <v>5838</v>
      </c>
      <c r="H21" s="3" t="s">
        <v>5534</v>
      </c>
      <c r="I21" s="3" t="s">
        <v>5535</v>
      </c>
      <c r="J21" s="3" t="s">
        <v>5536</v>
      </c>
      <c r="K21" s="3" t="s">
        <v>5558</v>
      </c>
      <c r="L21" s="8" t="str">
        <f>HYPERLINK("http://slimages.macys.com/is/image/MCY/9085100 ")</f>
        <v xml:space="preserve">http://slimages.macys.com/is/image/MCY/9085100 </v>
      </c>
    </row>
    <row r="22" spans="1:12" ht="36.75" x14ac:dyDescent="0.25">
      <c r="A22" s="6" t="s">
        <v>3465</v>
      </c>
      <c r="B22" s="3" t="s">
        <v>3466</v>
      </c>
      <c r="C22" s="4">
        <v>1</v>
      </c>
      <c r="D22" s="5">
        <v>90</v>
      </c>
      <c r="E22" s="4" t="s">
        <v>3467</v>
      </c>
      <c r="F22" s="3" t="s">
        <v>5661</v>
      </c>
      <c r="G22" s="7" t="s">
        <v>5562</v>
      </c>
      <c r="H22" s="3" t="s">
        <v>7152</v>
      </c>
      <c r="I22" s="3" t="s">
        <v>3468</v>
      </c>
      <c r="J22" s="3" t="s">
        <v>5536</v>
      </c>
      <c r="K22" s="3" t="s">
        <v>3469</v>
      </c>
      <c r="L22" s="8" t="str">
        <f>HYPERLINK("http://slimages.macys.com/is/image/MCY/15793436 ")</f>
        <v xml:space="preserve">http://slimages.macys.com/is/image/MCY/15793436 </v>
      </c>
    </row>
    <row r="23" spans="1:12" x14ac:dyDescent="0.25">
      <c r="A23" s="6" t="s">
        <v>3470</v>
      </c>
      <c r="B23" s="3" t="s">
        <v>3471</v>
      </c>
      <c r="C23" s="4">
        <v>1</v>
      </c>
      <c r="D23" s="5">
        <v>53.5</v>
      </c>
      <c r="E23" s="4">
        <v>181810276</v>
      </c>
      <c r="F23" s="3" t="s">
        <v>5604</v>
      </c>
      <c r="G23" s="7" t="s">
        <v>5557</v>
      </c>
      <c r="H23" s="3" t="s">
        <v>5606</v>
      </c>
      <c r="I23" s="3" t="s">
        <v>5607</v>
      </c>
      <c r="J23" s="3" t="s">
        <v>5536</v>
      </c>
      <c r="K23" s="3" t="s">
        <v>5594</v>
      </c>
      <c r="L23" s="8" t="str">
        <f>HYPERLINK("http://slimages.macys.com/is/image/MCY/9350334 ")</f>
        <v xml:space="preserve">http://slimages.macys.com/is/image/MCY/9350334 </v>
      </c>
    </row>
    <row r="24" spans="1:12" x14ac:dyDescent="0.25">
      <c r="A24" s="6" t="s">
        <v>3472</v>
      </c>
      <c r="B24" s="3" t="s">
        <v>3473</v>
      </c>
      <c r="C24" s="4">
        <v>1</v>
      </c>
      <c r="D24" s="5">
        <v>53.5</v>
      </c>
      <c r="E24" s="4">
        <v>45113224</v>
      </c>
      <c r="F24" s="3" t="s">
        <v>5604</v>
      </c>
      <c r="G24" s="7" t="s">
        <v>5650</v>
      </c>
      <c r="H24" s="3" t="s">
        <v>5606</v>
      </c>
      <c r="I24" s="3" t="s">
        <v>5607</v>
      </c>
      <c r="J24" s="3" t="s">
        <v>5536</v>
      </c>
      <c r="K24" s="3" t="s">
        <v>5558</v>
      </c>
      <c r="L24" s="8" t="str">
        <f>HYPERLINK("http://slimages.macys.com/is/image/MCY/10133687 ")</f>
        <v xml:space="preserve">http://slimages.macys.com/is/image/MCY/10133687 </v>
      </c>
    </row>
    <row r="25" spans="1:12" ht="24.75" x14ac:dyDescent="0.25">
      <c r="A25" s="6" t="s">
        <v>3474</v>
      </c>
      <c r="B25" s="3" t="s">
        <v>3475</v>
      </c>
      <c r="C25" s="4">
        <v>1</v>
      </c>
      <c r="D25" s="5">
        <v>53.5</v>
      </c>
      <c r="E25" s="4">
        <v>181810426</v>
      </c>
      <c r="F25" s="3" t="s">
        <v>5604</v>
      </c>
      <c r="G25" s="7" t="s">
        <v>5579</v>
      </c>
      <c r="H25" s="3" t="s">
        <v>5606</v>
      </c>
      <c r="I25" s="3" t="s">
        <v>5607</v>
      </c>
      <c r="J25" s="3" t="s">
        <v>5536</v>
      </c>
      <c r="K25" s="3" t="s">
        <v>5641</v>
      </c>
      <c r="L25" s="8" t="str">
        <f>HYPERLINK("http://slimages.macys.com/is/image/MCY/13862825 ")</f>
        <v xml:space="preserve">http://slimages.macys.com/is/image/MCY/13862825 </v>
      </c>
    </row>
    <row r="26" spans="1:12" x14ac:dyDescent="0.25">
      <c r="A26" s="6" t="s">
        <v>3476</v>
      </c>
      <c r="B26" s="3" t="s">
        <v>5335</v>
      </c>
      <c r="C26" s="4">
        <v>1</v>
      </c>
      <c r="D26" s="5">
        <v>53.5</v>
      </c>
      <c r="E26" s="4">
        <v>131510082</v>
      </c>
      <c r="F26" s="3" t="s">
        <v>5540</v>
      </c>
      <c r="G26" s="7" t="s">
        <v>2764</v>
      </c>
      <c r="H26" s="3" t="s">
        <v>5606</v>
      </c>
      <c r="I26" s="3" t="s">
        <v>5607</v>
      </c>
      <c r="J26" s="3" t="s">
        <v>5536</v>
      </c>
      <c r="K26" s="3" t="s">
        <v>5558</v>
      </c>
      <c r="L26" s="8" t="str">
        <f>HYPERLINK("http://slimages.macys.com/is/image/MCY/2977507 ")</f>
        <v xml:space="preserve">http://slimages.macys.com/is/image/MCY/2977507 </v>
      </c>
    </row>
    <row r="27" spans="1:12" x14ac:dyDescent="0.25">
      <c r="A27" s="6" t="s">
        <v>3477</v>
      </c>
      <c r="B27" s="3" t="s">
        <v>5335</v>
      </c>
      <c r="C27" s="4">
        <v>1</v>
      </c>
      <c r="D27" s="5">
        <v>53.5</v>
      </c>
      <c r="E27" s="4">
        <v>131510082</v>
      </c>
      <c r="F27" s="3" t="s">
        <v>5540</v>
      </c>
      <c r="G27" s="7" t="s">
        <v>5672</v>
      </c>
      <c r="H27" s="3" t="s">
        <v>5606</v>
      </c>
      <c r="I27" s="3" t="s">
        <v>5607</v>
      </c>
      <c r="J27" s="3" t="s">
        <v>5536</v>
      </c>
      <c r="K27" s="3" t="s">
        <v>5558</v>
      </c>
      <c r="L27" s="8" t="str">
        <f>HYPERLINK("http://slimages.macys.com/is/image/MCY/2977507 ")</f>
        <v xml:space="preserve">http://slimages.macys.com/is/image/MCY/2977507 </v>
      </c>
    </row>
    <row r="28" spans="1:12" x14ac:dyDescent="0.25">
      <c r="A28" s="6" t="s">
        <v>3478</v>
      </c>
      <c r="B28" s="3" t="s">
        <v>5335</v>
      </c>
      <c r="C28" s="4">
        <v>1</v>
      </c>
      <c r="D28" s="5">
        <v>53.5</v>
      </c>
      <c r="E28" s="4">
        <v>131510082</v>
      </c>
      <c r="F28" s="3" t="s">
        <v>5540</v>
      </c>
      <c r="G28" s="7" t="s">
        <v>5648</v>
      </c>
      <c r="H28" s="3" t="s">
        <v>5606</v>
      </c>
      <c r="I28" s="3" t="s">
        <v>5607</v>
      </c>
      <c r="J28" s="3" t="s">
        <v>5536</v>
      </c>
      <c r="K28" s="3" t="s">
        <v>5558</v>
      </c>
      <c r="L28" s="8" t="str">
        <f>HYPERLINK("http://slimages.macys.com/is/image/MCY/2977507 ")</f>
        <v xml:space="preserve">http://slimages.macys.com/is/image/MCY/2977507 </v>
      </c>
    </row>
    <row r="29" spans="1:12" x14ac:dyDescent="0.25">
      <c r="A29" s="6" t="s">
        <v>3479</v>
      </c>
      <c r="B29" s="3" t="s">
        <v>5335</v>
      </c>
      <c r="C29" s="4">
        <v>1</v>
      </c>
      <c r="D29" s="5">
        <v>53.5</v>
      </c>
      <c r="E29" s="4">
        <v>131510082</v>
      </c>
      <c r="F29" s="3" t="s">
        <v>5540</v>
      </c>
      <c r="G29" s="7" t="s">
        <v>5680</v>
      </c>
      <c r="H29" s="3" t="s">
        <v>5606</v>
      </c>
      <c r="I29" s="3" t="s">
        <v>5607</v>
      </c>
      <c r="J29" s="3" t="s">
        <v>5536</v>
      </c>
      <c r="K29" s="3" t="s">
        <v>5558</v>
      </c>
      <c r="L29" s="8" t="str">
        <f>HYPERLINK("http://slimages.macys.com/is/image/MCY/2977507 ")</f>
        <v xml:space="preserve">http://slimages.macys.com/is/image/MCY/2977507 </v>
      </c>
    </row>
    <row r="30" spans="1:12" ht="24.75" x14ac:dyDescent="0.25">
      <c r="A30" s="6" t="s">
        <v>3480</v>
      </c>
      <c r="B30" s="3" t="s">
        <v>5647</v>
      </c>
      <c r="C30" s="4">
        <v>1</v>
      </c>
      <c r="D30" s="5">
        <v>53.5</v>
      </c>
      <c r="E30" s="4">
        <v>45113016</v>
      </c>
      <c r="F30" s="3" t="s">
        <v>5540</v>
      </c>
      <c r="G30" s="7" t="s">
        <v>5629</v>
      </c>
      <c r="H30" s="3" t="s">
        <v>5606</v>
      </c>
      <c r="I30" s="3" t="s">
        <v>5607</v>
      </c>
      <c r="J30" s="3" t="s">
        <v>5536</v>
      </c>
      <c r="K30" s="3" t="s">
        <v>5641</v>
      </c>
      <c r="L30" s="8" t="str">
        <f>HYPERLINK("http://slimages.macys.com/is/image/MCY/14606494 ")</f>
        <v xml:space="preserve">http://slimages.macys.com/is/image/MCY/14606494 </v>
      </c>
    </row>
    <row r="31" spans="1:12" ht="24.75" x14ac:dyDescent="0.25">
      <c r="A31" s="6" t="s">
        <v>3481</v>
      </c>
      <c r="B31" s="3" t="s">
        <v>5671</v>
      </c>
      <c r="C31" s="4">
        <v>1</v>
      </c>
      <c r="D31" s="5">
        <v>53.5</v>
      </c>
      <c r="E31" s="4">
        <v>45113110</v>
      </c>
      <c r="F31" s="3" t="s">
        <v>5578</v>
      </c>
      <c r="G31" s="7" t="s">
        <v>5682</v>
      </c>
      <c r="H31" s="3" t="s">
        <v>5606</v>
      </c>
      <c r="I31" s="3" t="s">
        <v>5607</v>
      </c>
      <c r="J31" s="3" t="s">
        <v>5536</v>
      </c>
      <c r="K31" s="3" t="s">
        <v>5641</v>
      </c>
      <c r="L31" s="8" t="str">
        <f>HYPERLINK("http://slimages.macys.com/is/image/MCY/14606494 ")</f>
        <v xml:space="preserve">http://slimages.macys.com/is/image/MCY/14606494 </v>
      </c>
    </row>
    <row r="32" spans="1:12" ht="24.75" x14ac:dyDescent="0.25">
      <c r="A32" s="6" t="s">
        <v>3482</v>
      </c>
      <c r="B32" s="3" t="s">
        <v>5639</v>
      </c>
      <c r="C32" s="4">
        <v>1</v>
      </c>
      <c r="D32" s="5">
        <v>53.5</v>
      </c>
      <c r="E32" s="4">
        <v>45114088</v>
      </c>
      <c r="F32" s="3" t="s">
        <v>5640</v>
      </c>
      <c r="G32" s="7" t="s">
        <v>5605</v>
      </c>
      <c r="H32" s="3" t="s">
        <v>5606</v>
      </c>
      <c r="I32" s="3" t="s">
        <v>5607</v>
      </c>
      <c r="J32" s="3" t="s">
        <v>5536</v>
      </c>
      <c r="K32" s="3" t="s">
        <v>5641</v>
      </c>
      <c r="L32" s="8" t="str">
        <f>HYPERLINK("http://slimages.macys.com/is/image/MCY/14606494 ")</f>
        <v xml:space="preserve">http://slimages.macys.com/is/image/MCY/14606494 </v>
      </c>
    </row>
    <row r="33" spans="1:12" x14ac:dyDescent="0.25">
      <c r="A33" s="6" t="s">
        <v>3483</v>
      </c>
      <c r="B33" s="3" t="s">
        <v>3484</v>
      </c>
      <c r="C33" s="4">
        <v>1</v>
      </c>
      <c r="D33" s="5">
        <v>53.5</v>
      </c>
      <c r="E33" s="4">
        <v>5012419</v>
      </c>
      <c r="F33" s="3" t="s">
        <v>5604</v>
      </c>
      <c r="G33" s="7" t="s">
        <v>2969</v>
      </c>
      <c r="H33" s="3" t="s">
        <v>5606</v>
      </c>
      <c r="I33" s="3" t="s">
        <v>5607</v>
      </c>
      <c r="J33" s="3" t="s">
        <v>5536</v>
      </c>
      <c r="K33" s="3" t="s">
        <v>5594</v>
      </c>
      <c r="L33" s="8" t="str">
        <f>HYPERLINK("http://slimages.macys.com/is/image/MCY/9905559 ")</f>
        <v xml:space="preserve">http://slimages.macys.com/is/image/MCY/9905559 </v>
      </c>
    </row>
    <row r="34" spans="1:12" x14ac:dyDescent="0.25">
      <c r="A34" s="6" t="s">
        <v>3485</v>
      </c>
      <c r="B34" s="3" t="s">
        <v>3486</v>
      </c>
      <c r="C34" s="4">
        <v>1</v>
      </c>
      <c r="D34" s="5">
        <v>53.5</v>
      </c>
      <c r="E34" s="4">
        <v>5012659</v>
      </c>
      <c r="F34" s="3" t="s">
        <v>5552</v>
      </c>
      <c r="G34" s="7" t="s">
        <v>3487</v>
      </c>
      <c r="H34" s="3" t="s">
        <v>5606</v>
      </c>
      <c r="I34" s="3" t="s">
        <v>5607</v>
      </c>
      <c r="J34" s="3" t="s">
        <v>5536</v>
      </c>
      <c r="K34" s="3" t="s">
        <v>5594</v>
      </c>
      <c r="L34" s="8" t="str">
        <f>HYPERLINK("http://slimages.macys.com/is/image/MCY/10620069 ")</f>
        <v xml:space="preserve">http://slimages.macys.com/is/image/MCY/10620069 </v>
      </c>
    </row>
    <row r="35" spans="1:12" x14ac:dyDescent="0.25">
      <c r="A35" s="6" t="s">
        <v>3488</v>
      </c>
      <c r="B35" s="3" t="s">
        <v>5709</v>
      </c>
      <c r="C35" s="4">
        <v>2</v>
      </c>
      <c r="D35" s="5">
        <v>107</v>
      </c>
      <c r="E35" s="4">
        <v>5012309</v>
      </c>
      <c r="F35" s="3" t="s">
        <v>5625</v>
      </c>
      <c r="G35" s="7" t="s">
        <v>5629</v>
      </c>
      <c r="H35" s="3" t="s">
        <v>5606</v>
      </c>
      <c r="I35" s="3" t="s">
        <v>5607</v>
      </c>
      <c r="J35" s="3" t="s">
        <v>5536</v>
      </c>
      <c r="K35" s="3" t="s">
        <v>5594</v>
      </c>
      <c r="L35" s="8" t="str">
        <f>HYPERLINK("http://slimages.macys.com/is/image/MCY/3583079 ")</f>
        <v xml:space="preserve">http://slimages.macys.com/is/image/MCY/3583079 </v>
      </c>
    </row>
    <row r="36" spans="1:12" ht="24.75" x14ac:dyDescent="0.25">
      <c r="A36" s="6" t="s">
        <v>3489</v>
      </c>
      <c r="B36" s="3" t="s">
        <v>3490</v>
      </c>
      <c r="C36" s="4">
        <v>1</v>
      </c>
      <c r="D36" s="5">
        <v>69.5</v>
      </c>
      <c r="E36" s="4" t="s">
        <v>3491</v>
      </c>
      <c r="F36" s="3" t="s">
        <v>5793</v>
      </c>
      <c r="G36" s="7" t="s">
        <v>5533</v>
      </c>
      <c r="H36" s="3" t="s">
        <v>5715</v>
      </c>
      <c r="I36" s="3" t="s">
        <v>5716</v>
      </c>
      <c r="J36" s="3" t="s">
        <v>5536</v>
      </c>
      <c r="K36" s="3" t="s">
        <v>5594</v>
      </c>
      <c r="L36" s="8" t="str">
        <f>HYPERLINK("http://slimages.macys.com/is/image/MCY/10169439 ")</f>
        <v xml:space="preserve">http://slimages.macys.com/is/image/MCY/10169439 </v>
      </c>
    </row>
    <row r="37" spans="1:12" ht="24.75" x14ac:dyDescent="0.25">
      <c r="A37" s="6" t="s">
        <v>3492</v>
      </c>
      <c r="B37" s="3" t="s">
        <v>3493</v>
      </c>
      <c r="C37" s="4">
        <v>1</v>
      </c>
      <c r="D37" s="5">
        <v>69.5</v>
      </c>
      <c r="E37" s="4" t="s">
        <v>3494</v>
      </c>
      <c r="F37" s="3" t="s">
        <v>4043</v>
      </c>
      <c r="G37" s="7" t="s">
        <v>5596</v>
      </c>
      <c r="H37" s="3" t="s">
        <v>5715</v>
      </c>
      <c r="I37" s="3" t="s">
        <v>5716</v>
      </c>
      <c r="J37" s="3" t="s">
        <v>5536</v>
      </c>
      <c r="K37" s="3" t="s">
        <v>6021</v>
      </c>
      <c r="L37" s="8" t="str">
        <f>HYPERLINK("http://slimages.macys.com/is/image/MCY/14352520 ")</f>
        <v xml:space="preserve">http://slimages.macys.com/is/image/MCY/14352520 </v>
      </c>
    </row>
    <row r="38" spans="1:12" ht="24.75" x14ac:dyDescent="0.25">
      <c r="A38" s="6" t="s">
        <v>3495</v>
      </c>
      <c r="B38" s="3" t="s">
        <v>3496</v>
      </c>
      <c r="C38" s="4">
        <v>1</v>
      </c>
      <c r="D38" s="5">
        <v>42.99</v>
      </c>
      <c r="E38" s="4">
        <v>5051064</v>
      </c>
      <c r="F38" s="3" t="s">
        <v>5552</v>
      </c>
      <c r="G38" s="7" t="s">
        <v>5662</v>
      </c>
      <c r="H38" s="3" t="s">
        <v>5606</v>
      </c>
      <c r="I38" s="3" t="s">
        <v>5607</v>
      </c>
      <c r="J38" s="3" t="s">
        <v>5536</v>
      </c>
      <c r="K38" s="3" t="s">
        <v>5553</v>
      </c>
      <c r="L38" s="8" t="str">
        <f>HYPERLINK("http://slimages.macys.com/is/image/MCY/2076383 ")</f>
        <v xml:space="preserve">http://slimages.macys.com/is/image/MCY/2076383 </v>
      </c>
    </row>
    <row r="39" spans="1:12" ht="24.75" x14ac:dyDescent="0.25">
      <c r="A39" s="6" t="s">
        <v>5356</v>
      </c>
      <c r="B39" s="3" t="s">
        <v>5725</v>
      </c>
      <c r="C39" s="4">
        <v>1</v>
      </c>
      <c r="D39" s="5">
        <v>60</v>
      </c>
      <c r="E39" s="4">
        <v>1345612</v>
      </c>
      <c r="F39" s="3" t="s">
        <v>5625</v>
      </c>
      <c r="G39" s="7" t="s">
        <v>5596</v>
      </c>
      <c r="H39" s="3" t="s">
        <v>5726</v>
      </c>
      <c r="I39" s="3" t="s">
        <v>5726</v>
      </c>
      <c r="J39" s="3" t="s">
        <v>5536</v>
      </c>
      <c r="K39" s="3" t="s">
        <v>5727</v>
      </c>
      <c r="L39" s="8" t="str">
        <f>HYPERLINK("http://slimages.macys.com/is/image/MCY/14465936 ")</f>
        <v xml:space="preserve">http://slimages.macys.com/is/image/MCY/14465936 </v>
      </c>
    </row>
    <row r="40" spans="1:12" ht="24.75" x14ac:dyDescent="0.25">
      <c r="A40" s="6" t="s">
        <v>3497</v>
      </c>
      <c r="B40" s="3" t="s">
        <v>3498</v>
      </c>
      <c r="C40" s="4">
        <v>1</v>
      </c>
      <c r="D40" s="5">
        <v>59.99</v>
      </c>
      <c r="E40" s="4">
        <v>187570064</v>
      </c>
      <c r="F40" s="3" t="s">
        <v>6983</v>
      </c>
      <c r="G40" s="7" t="s">
        <v>5408</v>
      </c>
      <c r="H40" s="3" t="s">
        <v>5789</v>
      </c>
      <c r="I40" s="3" t="s">
        <v>5607</v>
      </c>
      <c r="J40" s="3" t="s">
        <v>5536</v>
      </c>
      <c r="K40" s="3" t="s">
        <v>5558</v>
      </c>
      <c r="L40" s="8" t="str">
        <f>HYPERLINK("http://slimages.macys.com/is/image/MCY/11831974 ")</f>
        <v xml:space="preserve">http://slimages.macys.com/is/image/MCY/11831974 </v>
      </c>
    </row>
    <row r="41" spans="1:12" ht="24.75" x14ac:dyDescent="0.25">
      <c r="A41" s="6" t="s">
        <v>3499</v>
      </c>
      <c r="B41" s="3" t="s">
        <v>3498</v>
      </c>
      <c r="C41" s="4">
        <v>1</v>
      </c>
      <c r="D41" s="5">
        <v>59.99</v>
      </c>
      <c r="E41" s="4">
        <v>187570064</v>
      </c>
      <c r="F41" s="3" t="s">
        <v>6983</v>
      </c>
      <c r="G41" s="7" t="s">
        <v>3500</v>
      </c>
      <c r="H41" s="3" t="s">
        <v>5789</v>
      </c>
      <c r="I41" s="3" t="s">
        <v>5607</v>
      </c>
      <c r="J41" s="3" t="s">
        <v>5536</v>
      </c>
      <c r="K41" s="3" t="s">
        <v>5558</v>
      </c>
      <c r="L41" s="8" t="str">
        <f>HYPERLINK("http://slimages.macys.com/is/image/MCY/11831974 ")</f>
        <v xml:space="preserve">http://slimages.macys.com/is/image/MCY/11831974 </v>
      </c>
    </row>
    <row r="42" spans="1:12" ht="24.75" x14ac:dyDescent="0.25">
      <c r="A42" s="6" t="s">
        <v>3501</v>
      </c>
      <c r="B42" s="3" t="s">
        <v>3502</v>
      </c>
      <c r="C42" s="4">
        <v>3</v>
      </c>
      <c r="D42" s="5">
        <v>179.97</v>
      </c>
      <c r="E42" s="4">
        <v>187570051</v>
      </c>
      <c r="F42" s="3" t="s">
        <v>5604</v>
      </c>
      <c r="G42" s="7" t="s">
        <v>3503</v>
      </c>
      <c r="H42" s="3" t="s">
        <v>5789</v>
      </c>
      <c r="I42" s="3" t="s">
        <v>5607</v>
      </c>
      <c r="J42" s="3" t="s">
        <v>5536</v>
      </c>
      <c r="K42" s="3" t="s">
        <v>5558</v>
      </c>
      <c r="L42" s="8" t="str">
        <f>HYPERLINK("http://slimages.macys.com/is/image/MCY/2529899 ")</f>
        <v xml:space="preserve">http://slimages.macys.com/is/image/MCY/2529899 </v>
      </c>
    </row>
    <row r="43" spans="1:12" ht="24.75" x14ac:dyDescent="0.25">
      <c r="A43" s="6" t="s">
        <v>3504</v>
      </c>
      <c r="B43" s="3" t="s">
        <v>5363</v>
      </c>
      <c r="C43" s="4">
        <v>1</v>
      </c>
      <c r="D43" s="5">
        <v>79.5</v>
      </c>
      <c r="E43" s="4" t="s">
        <v>5364</v>
      </c>
      <c r="F43" s="3" t="s">
        <v>5532</v>
      </c>
      <c r="G43" s="7" t="s">
        <v>5557</v>
      </c>
      <c r="H43" s="3" t="s">
        <v>5365</v>
      </c>
      <c r="I43" s="3" t="s">
        <v>5366</v>
      </c>
      <c r="J43" s="3" t="s">
        <v>5536</v>
      </c>
      <c r="K43" s="3" t="s">
        <v>5558</v>
      </c>
      <c r="L43" s="8" t="str">
        <f>HYPERLINK("http://slimages.macys.com/is/image/MCY/12259117 ")</f>
        <v xml:space="preserve">http://slimages.macys.com/is/image/MCY/12259117 </v>
      </c>
    </row>
    <row r="44" spans="1:12" ht="36.75" x14ac:dyDescent="0.25">
      <c r="A44" s="6" t="s">
        <v>3505</v>
      </c>
      <c r="B44" s="3" t="s">
        <v>2780</v>
      </c>
      <c r="C44" s="4">
        <v>1</v>
      </c>
      <c r="D44" s="5">
        <v>99.5</v>
      </c>
      <c r="E44" s="4">
        <v>100075438</v>
      </c>
      <c r="F44" s="3" t="s">
        <v>5540</v>
      </c>
      <c r="G44" s="7" t="s">
        <v>5560</v>
      </c>
      <c r="H44" s="3" t="s">
        <v>5585</v>
      </c>
      <c r="I44" s="3" t="s">
        <v>5734</v>
      </c>
      <c r="J44" s="3" t="s">
        <v>5536</v>
      </c>
      <c r="K44" s="3" t="s">
        <v>2781</v>
      </c>
      <c r="L44" s="8" t="str">
        <f>HYPERLINK("http://slimages.macys.com/is/image/MCY/15185038 ")</f>
        <v xml:space="preserve">http://slimages.macys.com/is/image/MCY/15185038 </v>
      </c>
    </row>
    <row r="45" spans="1:12" ht="36.75" x14ac:dyDescent="0.25">
      <c r="A45" s="6" t="s">
        <v>3506</v>
      </c>
      <c r="B45" s="3" t="s">
        <v>2780</v>
      </c>
      <c r="C45" s="4">
        <v>1</v>
      </c>
      <c r="D45" s="5">
        <v>99.5</v>
      </c>
      <c r="E45" s="4">
        <v>100075438</v>
      </c>
      <c r="F45" s="3" t="s">
        <v>5540</v>
      </c>
      <c r="G45" s="7" t="s">
        <v>5596</v>
      </c>
      <c r="H45" s="3" t="s">
        <v>5585</v>
      </c>
      <c r="I45" s="3" t="s">
        <v>5734</v>
      </c>
      <c r="J45" s="3" t="s">
        <v>5536</v>
      </c>
      <c r="K45" s="3" t="s">
        <v>2781</v>
      </c>
      <c r="L45" s="8" t="str">
        <f>HYPERLINK("http://slimages.macys.com/is/image/MCY/15185038 ")</f>
        <v xml:space="preserve">http://slimages.macys.com/is/image/MCY/15185038 </v>
      </c>
    </row>
    <row r="46" spans="1:12" ht="36.75" x14ac:dyDescent="0.25">
      <c r="A46" s="6" t="s">
        <v>3507</v>
      </c>
      <c r="B46" s="3" t="s">
        <v>2780</v>
      </c>
      <c r="C46" s="4">
        <v>2</v>
      </c>
      <c r="D46" s="5">
        <v>199</v>
      </c>
      <c r="E46" s="4">
        <v>100075438</v>
      </c>
      <c r="F46" s="3" t="s">
        <v>5540</v>
      </c>
      <c r="G46" s="7" t="s">
        <v>5533</v>
      </c>
      <c r="H46" s="3" t="s">
        <v>5585</v>
      </c>
      <c r="I46" s="3" t="s">
        <v>5734</v>
      </c>
      <c r="J46" s="3" t="s">
        <v>5536</v>
      </c>
      <c r="K46" s="3" t="s">
        <v>2781</v>
      </c>
      <c r="L46" s="8" t="str">
        <f>HYPERLINK("http://slimages.macys.com/is/image/MCY/15185038 ")</f>
        <v xml:space="preserve">http://slimages.macys.com/is/image/MCY/15185038 </v>
      </c>
    </row>
    <row r="47" spans="1:12" ht="24.75" x14ac:dyDescent="0.25">
      <c r="A47" s="6" t="s">
        <v>3508</v>
      </c>
      <c r="B47" s="3" t="s">
        <v>3509</v>
      </c>
      <c r="C47" s="4">
        <v>1</v>
      </c>
      <c r="D47" s="5">
        <v>62</v>
      </c>
      <c r="E47" s="4" t="s">
        <v>3510</v>
      </c>
      <c r="F47" s="3" t="s">
        <v>5532</v>
      </c>
      <c r="G47" s="7" t="s">
        <v>5755</v>
      </c>
      <c r="H47" s="3" t="s">
        <v>5722</v>
      </c>
      <c r="I47" s="3" t="s">
        <v>5756</v>
      </c>
      <c r="J47" s="3" t="s">
        <v>5536</v>
      </c>
      <c r="K47" s="3" t="s">
        <v>5641</v>
      </c>
      <c r="L47" s="8" t="str">
        <f>HYPERLINK("http://slimages.macys.com/is/image/MCY/11646592 ")</f>
        <v xml:space="preserve">http://slimages.macys.com/is/image/MCY/11646592 </v>
      </c>
    </row>
    <row r="48" spans="1:12" ht="36.75" x14ac:dyDescent="0.25">
      <c r="A48" s="6" t="s">
        <v>3511</v>
      </c>
      <c r="B48" s="3" t="s">
        <v>3512</v>
      </c>
      <c r="C48" s="4">
        <v>1</v>
      </c>
      <c r="D48" s="5">
        <v>55</v>
      </c>
      <c r="E48" s="4">
        <v>1320737</v>
      </c>
      <c r="F48" s="3" t="s">
        <v>5977</v>
      </c>
      <c r="G48" s="7" t="s">
        <v>5562</v>
      </c>
      <c r="H48" s="3" t="s">
        <v>5726</v>
      </c>
      <c r="I48" s="3" t="s">
        <v>5726</v>
      </c>
      <c r="J48" s="3" t="s">
        <v>5536</v>
      </c>
      <c r="K48" s="3" t="s">
        <v>3513</v>
      </c>
      <c r="L48" s="8" t="str">
        <f>HYPERLINK("http://slimages.macys.com/is/image/MCY/14735985 ")</f>
        <v xml:space="preserve">http://slimages.macys.com/is/image/MCY/14735985 </v>
      </c>
    </row>
    <row r="49" spans="1:12" ht="108.75" x14ac:dyDescent="0.25">
      <c r="A49" s="6" t="s">
        <v>3514</v>
      </c>
      <c r="B49" s="3" t="s">
        <v>5737</v>
      </c>
      <c r="C49" s="4">
        <v>1</v>
      </c>
      <c r="D49" s="5">
        <v>99.5</v>
      </c>
      <c r="E49" s="4" t="s">
        <v>5738</v>
      </c>
      <c r="F49" s="3" t="s">
        <v>5540</v>
      </c>
      <c r="G49" s="7" t="s">
        <v>5560</v>
      </c>
      <c r="H49" s="3" t="s">
        <v>5585</v>
      </c>
      <c r="I49" s="3" t="s">
        <v>5734</v>
      </c>
      <c r="J49" s="3" t="s">
        <v>5536</v>
      </c>
      <c r="K49" s="3" t="s">
        <v>5739</v>
      </c>
      <c r="L49" s="8" t="str">
        <f t="shared" ref="L49:L54" si="0">HYPERLINK("http://slimages.macys.com/is/image/MCY/15648992 ")</f>
        <v xml:space="preserve">http://slimages.macys.com/is/image/MCY/15648992 </v>
      </c>
    </row>
    <row r="50" spans="1:12" ht="108.75" x14ac:dyDescent="0.25">
      <c r="A50" s="6" t="s">
        <v>5736</v>
      </c>
      <c r="B50" s="3" t="s">
        <v>5737</v>
      </c>
      <c r="C50" s="4">
        <v>2</v>
      </c>
      <c r="D50" s="5">
        <v>199</v>
      </c>
      <c r="E50" s="4" t="s">
        <v>5738</v>
      </c>
      <c r="F50" s="3" t="s">
        <v>5540</v>
      </c>
      <c r="G50" s="7" t="s">
        <v>5598</v>
      </c>
      <c r="H50" s="3" t="s">
        <v>5585</v>
      </c>
      <c r="I50" s="3" t="s">
        <v>5734</v>
      </c>
      <c r="J50" s="3" t="s">
        <v>5536</v>
      </c>
      <c r="K50" s="3" t="s">
        <v>5739</v>
      </c>
      <c r="L50" s="8" t="str">
        <f t="shared" si="0"/>
        <v xml:space="preserve">http://slimages.macys.com/is/image/MCY/15648992 </v>
      </c>
    </row>
    <row r="51" spans="1:12" ht="108.75" x14ac:dyDescent="0.25">
      <c r="A51" s="6" t="s">
        <v>3515</v>
      </c>
      <c r="B51" s="3" t="s">
        <v>5737</v>
      </c>
      <c r="C51" s="4">
        <v>1</v>
      </c>
      <c r="D51" s="5">
        <v>99.5</v>
      </c>
      <c r="E51" s="4" t="s">
        <v>5738</v>
      </c>
      <c r="F51" s="3" t="s">
        <v>5540</v>
      </c>
      <c r="G51" s="7" t="s">
        <v>5562</v>
      </c>
      <c r="H51" s="3" t="s">
        <v>5585</v>
      </c>
      <c r="I51" s="3" t="s">
        <v>5734</v>
      </c>
      <c r="J51" s="3" t="s">
        <v>5536</v>
      </c>
      <c r="K51" s="3" t="s">
        <v>5739</v>
      </c>
      <c r="L51" s="8" t="str">
        <f t="shared" si="0"/>
        <v xml:space="preserve">http://slimages.macys.com/is/image/MCY/15648992 </v>
      </c>
    </row>
    <row r="52" spans="1:12" ht="108.75" x14ac:dyDescent="0.25">
      <c r="A52" s="6" t="s">
        <v>3516</v>
      </c>
      <c r="B52" s="3" t="s">
        <v>5737</v>
      </c>
      <c r="C52" s="4">
        <v>1</v>
      </c>
      <c r="D52" s="5">
        <v>99.5</v>
      </c>
      <c r="E52" s="4" t="s">
        <v>5738</v>
      </c>
      <c r="F52" s="3" t="s">
        <v>5540</v>
      </c>
      <c r="G52" s="7" t="s">
        <v>5533</v>
      </c>
      <c r="H52" s="3" t="s">
        <v>5585</v>
      </c>
      <c r="I52" s="3" t="s">
        <v>5734</v>
      </c>
      <c r="J52" s="3" t="s">
        <v>5536</v>
      </c>
      <c r="K52" s="3" t="s">
        <v>5739</v>
      </c>
      <c r="L52" s="8" t="str">
        <f t="shared" si="0"/>
        <v xml:space="preserve">http://slimages.macys.com/is/image/MCY/15648992 </v>
      </c>
    </row>
    <row r="53" spans="1:12" ht="108.75" x14ac:dyDescent="0.25">
      <c r="A53" s="6" t="s">
        <v>3517</v>
      </c>
      <c r="B53" s="3" t="s">
        <v>5737</v>
      </c>
      <c r="C53" s="4">
        <v>1</v>
      </c>
      <c r="D53" s="5">
        <v>99.5</v>
      </c>
      <c r="E53" s="4" t="s">
        <v>5738</v>
      </c>
      <c r="F53" s="3" t="s">
        <v>5540</v>
      </c>
      <c r="G53" s="7" t="s">
        <v>5582</v>
      </c>
      <c r="H53" s="3" t="s">
        <v>5585</v>
      </c>
      <c r="I53" s="3" t="s">
        <v>5734</v>
      </c>
      <c r="J53" s="3" t="s">
        <v>5536</v>
      </c>
      <c r="K53" s="3" t="s">
        <v>5739</v>
      </c>
      <c r="L53" s="8" t="str">
        <f t="shared" si="0"/>
        <v xml:space="preserve">http://slimages.macys.com/is/image/MCY/15648992 </v>
      </c>
    </row>
    <row r="54" spans="1:12" ht="108.75" x14ac:dyDescent="0.25">
      <c r="A54" s="6" t="s">
        <v>3518</v>
      </c>
      <c r="B54" s="3" t="s">
        <v>5737</v>
      </c>
      <c r="C54" s="4">
        <v>1</v>
      </c>
      <c r="D54" s="5">
        <v>99.5</v>
      </c>
      <c r="E54" s="4" t="s">
        <v>5738</v>
      </c>
      <c r="F54" s="3" t="s">
        <v>5540</v>
      </c>
      <c r="G54" s="7" t="s">
        <v>5596</v>
      </c>
      <c r="H54" s="3" t="s">
        <v>5585</v>
      </c>
      <c r="I54" s="3" t="s">
        <v>5734</v>
      </c>
      <c r="J54" s="3" t="s">
        <v>5536</v>
      </c>
      <c r="K54" s="3" t="s">
        <v>5739</v>
      </c>
      <c r="L54" s="8" t="str">
        <f t="shared" si="0"/>
        <v xml:space="preserve">http://slimages.macys.com/is/image/MCY/15648992 </v>
      </c>
    </row>
    <row r="55" spans="1:12" ht="24.75" x14ac:dyDescent="0.25">
      <c r="A55" s="6" t="s">
        <v>3519</v>
      </c>
      <c r="B55" s="3" t="s">
        <v>3520</v>
      </c>
      <c r="C55" s="4">
        <v>1</v>
      </c>
      <c r="D55" s="5">
        <v>66.989999999999995</v>
      </c>
      <c r="E55" s="4" t="s">
        <v>3521</v>
      </c>
      <c r="F55" s="3" t="s">
        <v>5604</v>
      </c>
      <c r="G55" s="7" t="s">
        <v>5764</v>
      </c>
      <c r="H55" s="3" t="s">
        <v>5722</v>
      </c>
      <c r="I55" s="3" t="s">
        <v>5756</v>
      </c>
      <c r="J55" s="3" t="s">
        <v>5536</v>
      </c>
      <c r="K55" s="3" t="s">
        <v>5558</v>
      </c>
      <c r="L55" s="8" t="str">
        <f>HYPERLINK("http://slimages.macys.com/is/image/MCY/14574525 ")</f>
        <v xml:space="preserve">http://slimages.macys.com/is/image/MCY/14574525 </v>
      </c>
    </row>
    <row r="56" spans="1:12" ht="24.75" x14ac:dyDescent="0.25">
      <c r="A56" s="6" t="s">
        <v>3522</v>
      </c>
      <c r="B56" s="3" t="s">
        <v>5392</v>
      </c>
      <c r="C56" s="4">
        <v>1</v>
      </c>
      <c r="D56" s="5">
        <v>66.989999999999995</v>
      </c>
      <c r="E56" s="4" t="s">
        <v>5393</v>
      </c>
      <c r="F56" s="3" t="s">
        <v>5552</v>
      </c>
      <c r="G56" s="7" t="s">
        <v>5777</v>
      </c>
      <c r="H56" s="3" t="s">
        <v>5722</v>
      </c>
      <c r="I56" s="3" t="s">
        <v>5756</v>
      </c>
      <c r="J56" s="3" t="s">
        <v>5536</v>
      </c>
      <c r="K56" s="3" t="s">
        <v>5558</v>
      </c>
      <c r="L56" s="8" t="str">
        <f>HYPERLINK("http://slimages.macys.com/is/image/MCY/15666311 ")</f>
        <v xml:space="preserve">http://slimages.macys.com/is/image/MCY/15666311 </v>
      </c>
    </row>
    <row r="57" spans="1:12" ht="24.75" x14ac:dyDescent="0.25">
      <c r="A57" s="6" t="s">
        <v>3523</v>
      </c>
      <c r="B57" s="3" t="s">
        <v>3524</v>
      </c>
      <c r="C57" s="4">
        <v>1</v>
      </c>
      <c r="D57" s="5">
        <v>66.989999999999995</v>
      </c>
      <c r="E57" s="4" t="s">
        <v>3525</v>
      </c>
      <c r="F57" s="3" t="s">
        <v>6275</v>
      </c>
      <c r="G57" s="7" t="s">
        <v>5762</v>
      </c>
      <c r="H57" s="3" t="s">
        <v>5722</v>
      </c>
      <c r="I57" s="3" t="s">
        <v>5756</v>
      </c>
      <c r="J57" s="3" t="s">
        <v>5536</v>
      </c>
      <c r="K57" s="3" t="s">
        <v>5558</v>
      </c>
      <c r="L57" s="8" t="str">
        <f>HYPERLINK("http://slimages.macys.com/is/image/MCY/9353205 ")</f>
        <v xml:space="preserve">http://slimages.macys.com/is/image/MCY/9353205 </v>
      </c>
    </row>
    <row r="58" spans="1:12" ht="24.75" x14ac:dyDescent="0.25">
      <c r="A58" s="6" t="s">
        <v>3526</v>
      </c>
      <c r="B58" s="3" t="s">
        <v>3527</v>
      </c>
      <c r="C58" s="4">
        <v>1</v>
      </c>
      <c r="D58" s="5">
        <v>66.989999999999995</v>
      </c>
      <c r="E58" s="4" t="s">
        <v>3528</v>
      </c>
      <c r="F58" s="3" t="s">
        <v>5532</v>
      </c>
      <c r="G58" s="7" t="s">
        <v>3886</v>
      </c>
      <c r="H58" s="3" t="s">
        <v>5892</v>
      </c>
      <c r="I58" s="3" t="s">
        <v>5893</v>
      </c>
      <c r="J58" s="3" t="s">
        <v>5536</v>
      </c>
      <c r="K58" s="3" t="s">
        <v>4535</v>
      </c>
      <c r="L58" s="8" t="str">
        <f>HYPERLINK("http://slimages.macys.com/is/image/MCY/14566057 ")</f>
        <v xml:space="preserve">http://slimages.macys.com/is/image/MCY/14566057 </v>
      </c>
    </row>
    <row r="59" spans="1:12" ht="24.75" x14ac:dyDescent="0.25">
      <c r="A59" s="6" t="s">
        <v>3529</v>
      </c>
      <c r="B59" s="3" t="s">
        <v>7120</v>
      </c>
      <c r="C59" s="4">
        <v>1</v>
      </c>
      <c r="D59" s="5">
        <v>59.98</v>
      </c>
      <c r="E59" s="4" t="s">
        <v>3530</v>
      </c>
      <c r="F59" s="3" t="s">
        <v>5572</v>
      </c>
      <c r="G59" s="7" t="s">
        <v>5658</v>
      </c>
      <c r="H59" s="3" t="s">
        <v>5715</v>
      </c>
      <c r="I59" s="3" t="s">
        <v>5716</v>
      </c>
      <c r="J59" s="3" t="s">
        <v>5536</v>
      </c>
      <c r="K59" s="3" t="s">
        <v>5558</v>
      </c>
      <c r="L59" s="8" t="str">
        <f t="shared" ref="L59:L64" si="1">HYPERLINK("http://slimages.macys.com/is/image/MCY/3298645 ")</f>
        <v xml:space="preserve">http://slimages.macys.com/is/image/MCY/3298645 </v>
      </c>
    </row>
    <row r="60" spans="1:12" ht="24.75" x14ac:dyDescent="0.25">
      <c r="A60" s="6" t="s">
        <v>3531</v>
      </c>
      <c r="B60" s="3" t="s">
        <v>7120</v>
      </c>
      <c r="C60" s="4">
        <v>1</v>
      </c>
      <c r="D60" s="5">
        <v>59.98</v>
      </c>
      <c r="E60" s="4" t="s">
        <v>3530</v>
      </c>
      <c r="F60" s="3" t="s">
        <v>6983</v>
      </c>
      <c r="G60" s="7" t="s">
        <v>5605</v>
      </c>
      <c r="H60" s="3" t="s">
        <v>5715</v>
      </c>
      <c r="I60" s="3" t="s">
        <v>5716</v>
      </c>
      <c r="J60" s="3" t="s">
        <v>5536</v>
      </c>
      <c r="K60" s="3" t="s">
        <v>5558</v>
      </c>
      <c r="L60" s="8" t="str">
        <f t="shared" si="1"/>
        <v xml:space="preserve">http://slimages.macys.com/is/image/MCY/3298645 </v>
      </c>
    </row>
    <row r="61" spans="1:12" ht="24.75" x14ac:dyDescent="0.25">
      <c r="A61" s="6" t="s">
        <v>3532</v>
      </c>
      <c r="B61" s="3" t="s">
        <v>7120</v>
      </c>
      <c r="C61" s="4">
        <v>1</v>
      </c>
      <c r="D61" s="5">
        <v>59.98</v>
      </c>
      <c r="E61" s="4" t="s">
        <v>3530</v>
      </c>
      <c r="F61" s="3" t="s">
        <v>6983</v>
      </c>
      <c r="G61" s="7" t="s">
        <v>5656</v>
      </c>
      <c r="H61" s="3" t="s">
        <v>5715</v>
      </c>
      <c r="I61" s="3" t="s">
        <v>5716</v>
      </c>
      <c r="J61" s="3" t="s">
        <v>5536</v>
      </c>
      <c r="K61" s="3" t="s">
        <v>5558</v>
      </c>
      <c r="L61" s="8" t="str">
        <f t="shared" si="1"/>
        <v xml:space="preserve">http://slimages.macys.com/is/image/MCY/3298645 </v>
      </c>
    </row>
    <row r="62" spans="1:12" ht="24.75" x14ac:dyDescent="0.25">
      <c r="A62" s="6" t="s">
        <v>3533</v>
      </c>
      <c r="B62" s="3" t="s">
        <v>7120</v>
      </c>
      <c r="C62" s="4">
        <v>1</v>
      </c>
      <c r="D62" s="5">
        <v>59.98</v>
      </c>
      <c r="E62" s="4" t="s">
        <v>3530</v>
      </c>
      <c r="F62" s="3" t="s">
        <v>6983</v>
      </c>
      <c r="G62" s="7" t="s">
        <v>5694</v>
      </c>
      <c r="H62" s="3" t="s">
        <v>5715</v>
      </c>
      <c r="I62" s="3" t="s">
        <v>5716</v>
      </c>
      <c r="J62" s="3" t="s">
        <v>5536</v>
      </c>
      <c r="K62" s="3" t="s">
        <v>5558</v>
      </c>
      <c r="L62" s="8" t="str">
        <f t="shared" si="1"/>
        <v xml:space="preserve">http://slimages.macys.com/is/image/MCY/3298645 </v>
      </c>
    </row>
    <row r="63" spans="1:12" ht="24.75" x14ac:dyDescent="0.25">
      <c r="A63" s="6" t="s">
        <v>3534</v>
      </c>
      <c r="B63" s="3" t="s">
        <v>7120</v>
      </c>
      <c r="C63" s="4">
        <v>1</v>
      </c>
      <c r="D63" s="5">
        <v>59.98</v>
      </c>
      <c r="E63" s="4" t="s">
        <v>3530</v>
      </c>
      <c r="F63" s="3" t="s">
        <v>6983</v>
      </c>
      <c r="G63" s="7" t="s">
        <v>5658</v>
      </c>
      <c r="H63" s="3" t="s">
        <v>5715</v>
      </c>
      <c r="I63" s="3" t="s">
        <v>5716</v>
      </c>
      <c r="J63" s="3" t="s">
        <v>5536</v>
      </c>
      <c r="K63" s="3" t="s">
        <v>5558</v>
      </c>
      <c r="L63" s="8" t="str">
        <f t="shared" si="1"/>
        <v xml:space="preserve">http://slimages.macys.com/is/image/MCY/3298645 </v>
      </c>
    </row>
    <row r="64" spans="1:12" ht="24.75" x14ac:dyDescent="0.25">
      <c r="A64" s="6" t="s">
        <v>3535</v>
      </c>
      <c r="B64" s="3" t="s">
        <v>7120</v>
      </c>
      <c r="C64" s="4">
        <v>1</v>
      </c>
      <c r="D64" s="5">
        <v>59.98</v>
      </c>
      <c r="E64" s="4" t="s">
        <v>3530</v>
      </c>
      <c r="F64" s="3" t="s">
        <v>6983</v>
      </c>
      <c r="G64" s="7" t="s">
        <v>5311</v>
      </c>
      <c r="H64" s="3" t="s">
        <v>5715</v>
      </c>
      <c r="I64" s="3" t="s">
        <v>5716</v>
      </c>
      <c r="J64" s="3" t="s">
        <v>5536</v>
      </c>
      <c r="K64" s="3" t="s">
        <v>5558</v>
      </c>
      <c r="L64" s="8" t="str">
        <f t="shared" si="1"/>
        <v xml:space="preserve">http://slimages.macys.com/is/image/MCY/3298645 </v>
      </c>
    </row>
    <row r="65" spans="1:12" ht="24.75" x14ac:dyDescent="0.25">
      <c r="A65" s="6" t="s">
        <v>3536</v>
      </c>
      <c r="B65" s="3" t="s">
        <v>3537</v>
      </c>
      <c r="C65" s="4">
        <v>1</v>
      </c>
      <c r="D65" s="5">
        <v>59.98</v>
      </c>
      <c r="E65" s="4" t="s">
        <v>3538</v>
      </c>
      <c r="F65" s="3" t="s">
        <v>5625</v>
      </c>
      <c r="G65" s="7" t="s">
        <v>5685</v>
      </c>
      <c r="H65" s="3" t="s">
        <v>5715</v>
      </c>
      <c r="I65" s="3" t="s">
        <v>5716</v>
      </c>
      <c r="J65" s="3" t="s">
        <v>5536</v>
      </c>
      <c r="K65" s="3" t="s">
        <v>6021</v>
      </c>
      <c r="L65" s="8" t="str">
        <f>HYPERLINK("http://slimages.macys.com/is/image/MCY/11505349 ")</f>
        <v xml:space="preserve">http://slimages.macys.com/is/image/MCY/11505349 </v>
      </c>
    </row>
    <row r="66" spans="1:12" ht="24.75" x14ac:dyDescent="0.25">
      <c r="A66" s="6" t="s">
        <v>3539</v>
      </c>
      <c r="B66" s="3" t="s">
        <v>7120</v>
      </c>
      <c r="C66" s="4">
        <v>2</v>
      </c>
      <c r="D66" s="5">
        <v>119.96</v>
      </c>
      <c r="E66" s="4" t="s">
        <v>3530</v>
      </c>
      <c r="F66" s="3" t="s">
        <v>5572</v>
      </c>
      <c r="G66" s="7"/>
      <c r="H66" s="3" t="s">
        <v>5715</v>
      </c>
      <c r="I66" s="3" t="s">
        <v>5716</v>
      </c>
      <c r="J66" s="3" t="s">
        <v>5536</v>
      </c>
      <c r="K66" s="3" t="s">
        <v>5558</v>
      </c>
      <c r="L66" s="8" t="str">
        <f t="shared" ref="L66:L76" si="2">HYPERLINK("http://slimages.macys.com/is/image/MCY/3298645 ")</f>
        <v xml:space="preserve">http://slimages.macys.com/is/image/MCY/3298645 </v>
      </c>
    </row>
    <row r="67" spans="1:12" ht="24.75" x14ac:dyDescent="0.25">
      <c r="A67" s="6" t="s">
        <v>3540</v>
      </c>
      <c r="B67" s="3" t="s">
        <v>7120</v>
      </c>
      <c r="C67" s="4">
        <v>2</v>
      </c>
      <c r="D67" s="5">
        <v>119.96</v>
      </c>
      <c r="E67" s="4" t="s">
        <v>3530</v>
      </c>
      <c r="F67" s="3" t="s">
        <v>5572</v>
      </c>
      <c r="G67" s="7" t="s">
        <v>5557</v>
      </c>
      <c r="H67" s="3" t="s">
        <v>5715</v>
      </c>
      <c r="I67" s="3" t="s">
        <v>5716</v>
      </c>
      <c r="J67" s="3" t="s">
        <v>5536</v>
      </c>
      <c r="K67" s="3" t="s">
        <v>5558</v>
      </c>
      <c r="L67" s="8" t="str">
        <f t="shared" si="2"/>
        <v xml:space="preserve">http://slimages.macys.com/is/image/MCY/3298645 </v>
      </c>
    </row>
    <row r="68" spans="1:12" ht="24.75" x14ac:dyDescent="0.25">
      <c r="A68" s="6" t="s">
        <v>3541</v>
      </c>
      <c r="B68" s="3" t="s">
        <v>7120</v>
      </c>
      <c r="C68" s="4">
        <v>1</v>
      </c>
      <c r="D68" s="5">
        <v>59.98</v>
      </c>
      <c r="E68" s="4" t="s">
        <v>3530</v>
      </c>
      <c r="F68" s="3" t="s">
        <v>5572</v>
      </c>
      <c r="G68" s="7" t="s">
        <v>5694</v>
      </c>
      <c r="H68" s="3" t="s">
        <v>5715</v>
      </c>
      <c r="I68" s="3" t="s">
        <v>5716</v>
      </c>
      <c r="J68" s="3" t="s">
        <v>5536</v>
      </c>
      <c r="K68" s="3" t="s">
        <v>5558</v>
      </c>
      <c r="L68" s="8" t="str">
        <f t="shared" si="2"/>
        <v xml:space="preserve">http://slimages.macys.com/is/image/MCY/3298645 </v>
      </c>
    </row>
    <row r="69" spans="1:12" ht="24.75" x14ac:dyDescent="0.25">
      <c r="A69" s="6" t="s">
        <v>3542</v>
      </c>
      <c r="B69" s="3" t="s">
        <v>7120</v>
      </c>
      <c r="C69" s="4">
        <v>1</v>
      </c>
      <c r="D69" s="5">
        <v>59.98</v>
      </c>
      <c r="E69" s="4" t="s">
        <v>3530</v>
      </c>
      <c r="F69" s="3" t="s">
        <v>6983</v>
      </c>
      <c r="G69" s="7" t="s">
        <v>5557</v>
      </c>
      <c r="H69" s="3" t="s">
        <v>5715</v>
      </c>
      <c r="I69" s="3" t="s">
        <v>5716</v>
      </c>
      <c r="J69" s="3" t="s">
        <v>5536</v>
      </c>
      <c r="K69" s="3" t="s">
        <v>5558</v>
      </c>
      <c r="L69" s="8" t="str">
        <f t="shared" si="2"/>
        <v xml:space="preserve">http://slimages.macys.com/is/image/MCY/3298645 </v>
      </c>
    </row>
    <row r="70" spans="1:12" ht="24.75" x14ac:dyDescent="0.25">
      <c r="A70" s="6" t="s">
        <v>3543</v>
      </c>
      <c r="B70" s="3" t="s">
        <v>7120</v>
      </c>
      <c r="C70" s="4">
        <v>2</v>
      </c>
      <c r="D70" s="5">
        <v>119.96</v>
      </c>
      <c r="E70" s="4" t="s">
        <v>3530</v>
      </c>
      <c r="F70" s="3" t="s">
        <v>5572</v>
      </c>
      <c r="G70" s="7" t="s">
        <v>5629</v>
      </c>
      <c r="H70" s="3" t="s">
        <v>5715</v>
      </c>
      <c r="I70" s="3" t="s">
        <v>5716</v>
      </c>
      <c r="J70" s="3" t="s">
        <v>5536</v>
      </c>
      <c r="K70" s="3" t="s">
        <v>5558</v>
      </c>
      <c r="L70" s="8" t="str">
        <f t="shared" si="2"/>
        <v xml:space="preserve">http://slimages.macys.com/is/image/MCY/3298645 </v>
      </c>
    </row>
    <row r="71" spans="1:12" ht="24.75" x14ac:dyDescent="0.25">
      <c r="A71" s="6" t="s">
        <v>3544</v>
      </c>
      <c r="B71" s="3" t="s">
        <v>7120</v>
      </c>
      <c r="C71" s="4">
        <v>1</v>
      </c>
      <c r="D71" s="5">
        <v>59.98</v>
      </c>
      <c r="E71" s="4" t="s">
        <v>3530</v>
      </c>
      <c r="F71" s="3" t="s">
        <v>5572</v>
      </c>
      <c r="G71" s="7" t="s">
        <v>5662</v>
      </c>
      <c r="H71" s="3" t="s">
        <v>5715</v>
      </c>
      <c r="I71" s="3" t="s">
        <v>5716</v>
      </c>
      <c r="J71" s="3" t="s">
        <v>5536</v>
      </c>
      <c r="K71" s="3" t="s">
        <v>5558</v>
      </c>
      <c r="L71" s="8" t="str">
        <f t="shared" si="2"/>
        <v xml:space="preserve">http://slimages.macys.com/is/image/MCY/3298645 </v>
      </c>
    </row>
    <row r="72" spans="1:12" ht="24.75" x14ac:dyDescent="0.25">
      <c r="A72" s="6" t="s">
        <v>3545</v>
      </c>
      <c r="B72" s="3" t="s">
        <v>7120</v>
      </c>
      <c r="C72" s="4">
        <v>1</v>
      </c>
      <c r="D72" s="5">
        <v>59.98</v>
      </c>
      <c r="E72" s="4" t="s">
        <v>3530</v>
      </c>
      <c r="F72" s="3" t="s">
        <v>5572</v>
      </c>
      <c r="G72" s="7" t="s">
        <v>5605</v>
      </c>
      <c r="H72" s="3" t="s">
        <v>5715</v>
      </c>
      <c r="I72" s="3" t="s">
        <v>5716</v>
      </c>
      <c r="J72" s="3" t="s">
        <v>5536</v>
      </c>
      <c r="K72" s="3" t="s">
        <v>5558</v>
      </c>
      <c r="L72" s="8" t="str">
        <f t="shared" si="2"/>
        <v xml:space="preserve">http://slimages.macys.com/is/image/MCY/3298645 </v>
      </c>
    </row>
    <row r="73" spans="1:12" ht="24.75" x14ac:dyDescent="0.25">
      <c r="A73" s="6" t="s">
        <v>3546</v>
      </c>
      <c r="B73" s="3" t="s">
        <v>7120</v>
      </c>
      <c r="C73" s="4">
        <v>1</v>
      </c>
      <c r="D73" s="5">
        <v>59.98</v>
      </c>
      <c r="E73" s="4" t="s">
        <v>3530</v>
      </c>
      <c r="F73" s="3" t="s">
        <v>5572</v>
      </c>
      <c r="G73" s="7" t="s">
        <v>5626</v>
      </c>
      <c r="H73" s="3" t="s">
        <v>5715</v>
      </c>
      <c r="I73" s="3" t="s">
        <v>5716</v>
      </c>
      <c r="J73" s="3" t="s">
        <v>5536</v>
      </c>
      <c r="K73" s="3" t="s">
        <v>5558</v>
      </c>
      <c r="L73" s="8" t="str">
        <f t="shared" si="2"/>
        <v xml:space="preserve">http://slimages.macys.com/is/image/MCY/3298645 </v>
      </c>
    </row>
    <row r="74" spans="1:12" ht="24.75" x14ac:dyDescent="0.25">
      <c r="A74" s="6" t="s">
        <v>3547</v>
      </c>
      <c r="B74" s="3" t="s">
        <v>7120</v>
      </c>
      <c r="C74" s="4">
        <v>1</v>
      </c>
      <c r="D74" s="5">
        <v>59.98</v>
      </c>
      <c r="E74" s="4" t="s">
        <v>3530</v>
      </c>
      <c r="F74" s="3" t="s">
        <v>5572</v>
      </c>
      <c r="G74" s="7" t="s">
        <v>5656</v>
      </c>
      <c r="H74" s="3" t="s">
        <v>5715</v>
      </c>
      <c r="I74" s="3" t="s">
        <v>5716</v>
      </c>
      <c r="J74" s="3" t="s">
        <v>5536</v>
      </c>
      <c r="K74" s="3" t="s">
        <v>5558</v>
      </c>
      <c r="L74" s="8" t="str">
        <f t="shared" si="2"/>
        <v xml:space="preserve">http://slimages.macys.com/is/image/MCY/3298645 </v>
      </c>
    </row>
    <row r="75" spans="1:12" ht="24.75" x14ac:dyDescent="0.25">
      <c r="A75" s="6" t="s">
        <v>3548</v>
      </c>
      <c r="B75" s="3" t="s">
        <v>7120</v>
      </c>
      <c r="C75" s="4">
        <v>1</v>
      </c>
      <c r="D75" s="5">
        <v>59.98</v>
      </c>
      <c r="E75" s="4" t="s">
        <v>3530</v>
      </c>
      <c r="F75" s="3" t="s">
        <v>5572</v>
      </c>
      <c r="G75" s="7" t="s">
        <v>5631</v>
      </c>
      <c r="H75" s="3" t="s">
        <v>5715</v>
      </c>
      <c r="I75" s="3" t="s">
        <v>5716</v>
      </c>
      <c r="J75" s="3" t="s">
        <v>5536</v>
      </c>
      <c r="K75" s="3" t="s">
        <v>5558</v>
      </c>
      <c r="L75" s="8" t="str">
        <f t="shared" si="2"/>
        <v xml:space="preserve">http://slimages.macys.com/is/image/MCY/3298645 </v>
      </c>
    </row>
    <row r="76" spans="1:12" ht="24.75" x14ac:dyDescent="0.25">
      <c r="A76" s="6" t="s">
        <v>3549</v>
      </c>
      <c r="B76" s="3" t="s">
        <v>7120</v>
      </c>
      <c r="C76" s="4">
        <v>1</v>
      </c>
      <c r="D76" s="5">
        <v>59.98</v>
      </c>
      <c r="E76" s="4" t="s">
        <v>3530</v>
      </c>
      <c r="F76" s="3" t="s">
        <v>6983</v>
      </c>
      <c r="G76" s="7" t="s">
        <v>5631</v>
      </c>
      <c r="H76" s="3" t="s">
        <v>5715</v>
      </c>
      <c r="I76" s="3" t="s">
        <v>5716</v>
      </c>
      <c r="J76" s="3" t="s">
        <v>5536</v>
      </c>
      <c r="K76" s="3" t="s">
        <v>5558</v>
      </c>
      <c r="L76" s="8" t="str">
        <f t="shared" si="2"/>
        <v xml:space="preserve">http://slimages.macys.com/is/image/MCY/3298645 </v>
      </c>
    </row>
    <row r="77" spans="1:12" ht="24.75" x14ac:dyDescent="0.25">
      <c r="A77" s="6" t="s">
        <v>3550</v>
      </c>
      <c r="B77" s="3" t="s">
        <v>3551</v>
      </c>
      <c r="C77" s="4">
        <v>1</v>
      </c>
      <c r="D77" s="5">
        <v>59.5</v>
      </c>
      <c r="E77" s="4" t="s">
        <v>3552</v>
      </c>
      <c r="F77" s="3"/>
      <c r="G77" s="7" t="s">
        <v>5598</v>
      </c>
      <c r="H77" s="3" t="s">
        <v>5715</v>
      </c>
      <c r="I77" s="3" t="s">
        <v>5716</v>
      </c>
      <c r="J77" s="3" t="s">
        <v>5536</v>
      </c>
      <c r="K77" s="3" t="s">
        <v>5549</v>
      </c>
      <c r="L77" s="8" t="str">
        <f>HYPERLINK("http://slimages.macys.com/is/image/MCY/14368663 ")</f>
        <v xml:space="preserve">http://slimages.macys.com/is/image/MCY/14368663 </v>
      </c>
    </row>
    <row r="78" spans="1:12" x14ac:dyDescent="0.25">
      <c r="A78" s="6" t="s">
        <v>3553</v>
      </c>
      <c r="B78" s="3" t="s">
        <v>3554</v>
      </c>
      <c r="C78" s="4">
        <v>1</v>
      </c>
      <c r="D78" s="5">
        <v>43.5</v>
      </c>
      <c r="E78" s="4">
        <v>5012367</v>
      </c>
      <c r="F78" s="3" t="s">
        <v>5578</v>
      </c>
      <c r="G78" s="7" t="s">
        <v>5631</v>
      </c>
      <c r="H78" s="3" t="s">
        <v>5606</v>
      </c>
      <c r="I78" s="3" t="s">
        <v>5607</v>
      </c>
      <c r="J78" s="3" t="s">
        <v>5536</v>
      </c>
      <c r="K78" s="3" t="s">
        <v>5558</v>
      </c>
      <c r="L78" s="8" t="str">
        <f>HYPERLINK("http://slimages.macys.com/is/image/MCY/3631183 ")</f>
        <v xml:space="preserve">http://slimages.macys.com/is/image/MCY/3631183 </v>
      </c>
    </row>
    <row r="79" spans="1:12" x14ac:dyDescent="0.25">
      <c r="A79" s="6" t="s">
        <v>3555</v>
      </c>
      <c r="B79" s="3" t="s">
        <v>3556</v>
      </c>
      <c r="C79" s="4">
        <v>1</v>
      </c>
      <c r="D79" s="5">
        <v>53.5</v>
      </c>
      <c r="E79" s="4">
        <v>295070340</v>
      </c>
      <c r="F79" s="3" t="s">
        <v>5552</v>
      </c>
      <c r="G79" s="7" t="s">
        <v>5557</v>
      </c>
      <c r="H79" s="3" t="s">
        <v>5606</v>
      </c>
      <c r="I79" s="3" t="s">
        <v>5607</v>
      </c>
      <c r="J79" s="3" t="s">
        <v>5536</v>
      </c>
      <c r="K79" s="3" t="s">
        <v>5558</v>
      </c>
      <c r="L79" s="8" t="str">
        <f>HYPERLINK("http://slimages.macys.com/is/image/MCY/10028402 ")</f>
        <v xml:space="preserve">http://slimages.macys.com/is/image/MCY/10028402 </v>
      </c>
    </row>
    <row r="80" spans="1:12" ht="24.75" x14ac:dyDescent="0.25">
      <c r="A80" s="6" t="s">
        <v>3557</v>
      </c>
      <c r="B80" s="3" t="s">
        <v>3558</v>
      </c>
      <c r="C80" s="4">
        <v>1</v>
      </c>
      <c r="D80" s="5">
        <v>53.5</v>
      </c>
      <c r="E80" s="4">
        <v>295070389</v>
      </c>
      <c r="F80" s="3" t="s">
        <v>5604</v>
      </c>
      <c r="G80" s="7" t="s">
        <v>5694</v>
      </c>
      <c r="H80" s="3" t="s">
        <v>5606</v>
      </c>
      <c r="I80" s="3" t="s">
        <v>5607</v>
      </c>
      <c r="J80" s="3" t="s">
        <v>5536</v>
      </c>
      <c r="K80" s="3" t="s">
        <v>5641</v>
      </c>
      <c r="L80" s="8" t="str">
        <f>HYPERLINK("http://slimages.macys.com/is/image/MCY/11642453 ")</f>
        <v xml:space="preserve">http://slimages.macys.com/is/image/MCY/11642453 </v>
      </c>
    </row>
    <row r="81" spans="1:12" x14ac:dyDescent="0.25">
      <c r="A81" s="6" t="s">
        <v>3559</v>
      </c>
      <c r="B81" s="3" t="s">
        <v>3560</v>
      </c>
      <c r="C81" s="4">
        <v>1</v>
      </c>
      <c r="D81" s="5">
        <v>43.5</v>
      </c>
      <c r="E81" s="4">
        <v>5050236</v>
      </c>
      <c r="F81" s="3" t="s">
        <v>5578</v>
      </c>
      <c r="G81" s="7" t="s">
        <v>5658</v>
      </c>
      <c r="H81" s="3" t="s">
        <v>5606</v>
      </c>
      <c r="I81" s="3" t="s">
        <v>5607</v>
      </c>
      <c r="J81" s="3" t="s">
        <v>5536</v>
      </c>
      <c r="K81" s="3" t="s">
        <v>5558</v>
      </c>
      <c r="L81" s="8" t="str">
        <f>HYPERLINK("http://slimages.macys.com/is/image/MCY/9830836 ")</f>
        <v xml:space="preserve">http://slimages.macys.com/is/image/MCY/9830836 </v>
      </c>
    </row>
    <row r="82" spans="1:12" x14ac:dyDescent="0.25">
      <c r="A82" s="6" t="s">
        <v>3561</v>
      </c>
      <c r="B82" s="3" t="s">
        <v>3560</v>
      </c>
      <c r="C82" s="4">
        <v>2</v>
      </c>
      <c r="D82" s="5">
        <v>87</v>
      </c>
      <c r="E82" s="4">
        <v>5050236</v>
      </c>
      <c r="F82" s="3" t="s">
        <v>5578</v>
      </c>
      <c r="G82" s="7" t="s">
        <v>5694</v>
      </c>
      <c r="H82" s="3" t="s">
        <v>5606</v>
      </c>
      <c r="I82" s="3" t="s">
        <v>5607</v>
      </c>
      <c r="J82" s="3" t="s">
        <v>5536</v>
      </c>
      <c r="K82" s="3" t="s">
        <v>5558</v>
      </c>
      <c r="L82" s="8" t="str">
        <f>HYPERLINK("http://slimages.macys.com/is/image/MCY/9830836 ")</f>
        <v xml:space="preserve">http://slimages.macys.com/is/image/MCY/9830836 </v>
      </c>
    </row>
    <row r="83" spans="1:12" x14ac:dyDescent="0.25">
      <c r="A83" s="6" t="s">
        <v>3562</v>
      </c>
      <c r="B83" s="3" t="s">
        <v>3563</v>
      </c>
      <c r="C83" s="4">
        <v>1</v>
      </c>
      <c r="D83" s="5">
        <v>43.5</v>
      </c>
      <c r="E83" s="4">
        <v>5500061</v>
      </c>
      <c r="F83" s="3" t="s">
        <v>5578</v>
      </c>
      <c r="G83" s="7" t="s">
        <v>2764</v>
      </c>
      <c r="H83" s="3" t="s">
        <v>5606</v>
      </c>
      <c r="I83" s="3" t="s">
        <v>5607</v>
      </c>
      <c r="J83" s="3" t="s">
        <v>5536</v>
      </c>
      <c r="K83" s="3" t="s">
        <v>5594</v>
      </c>
      <c r="L83" s="8" t="str">
        <f>HYPERLINK("http://slimages.macys.com/is/image/MCY/1021971 ")</f>
        <v xml:space="preserve">http://slimages.macys.com/is/image/MCY/1021971 </v>
      </c>
    </row>
    <row r="84" spans="1:12" ht="24.75" x14ac:dyDescent="0.25">
      <c r="A84" s="6" t="s">
        <v>3564</v>
      </c>
      <c r="B84" s="3" t="s">
        <v>4700</v>
      </c>
      <c r="C84" s="4">
        <v>1</v>
      </c>
      <c r="D84" s="5">
        <v>64.989999999999995</v>
      </c>
      <c r="E84" s="4" t="s">
        <v>4701</v>
      </c>
      <c r="F84" s="3" t="s">
        <v>5532</v>
      </c>
      <c r="G84" s="7"/>
      <c r="H84" s="3" t="s">
        <v>5722</v>
      </c>
      <c r="I84" s="3" t="s">
        <v>5773</v>
      </c>
      <c r="J84" s="3" t="s">
        <v>5536</v>
      </c>
      <c r="K84" s="3" t="s">
        <v>5784</v>
      </c>
      <c r="L84" s="8" t="str">
        <f>HYPERLINK("http://slimages.macys.com/is/image/MCY/14441815 ")</f>
        <v xml:space="preserve">http://slimages.macys.com/is/image/MCY/14441815 </v>
      </c>
    </row>
    <row r="85" spans="1:12" ht="24.75" x14ac:dyDescent="0.25">
      <c r="A85" s="6" t="s">
        <v>3565</v>
      </c>
      <c r="B85" s="3" t="s">
        <v>4700</v>
      </c>
      <c r="C85" s="4">
        <v>1</v>
      </c>
      <c r="D85" s="5">
        <v>64.989999999999995</v>
      </c>
      <c r="E85" s="4" t="s">
        <v>4701</v>
      </c>
      <c r="F85" s="3" t="s">
        <v>5532</v>
      </c>
      <c r="G85" s="7"/>
      <c r="H85" s="3" t="s">
        <v>5722</v>
      </c>
      <c r="I85" s="3" t="s">
        <v>5773</v>
      </c>
      <c r="J85" s="3" t="s">
        <v>5536</v>
      </c>
      <c r="K85" s="3" t="s">
        <v>5784</v>
      </c>
      <c r="L85" s="8" t="str">
        <f>HYPERLINK("http://slimages.macys.com/is/image/MCY/14441815 ")</f>
        <v xml:space="preserve">http://slimages.macys.com/is/image/MCY/14441815 </v>
      </c>
    </row>
    <row r="86" spans="1:12" ht="24.75" x14ac:dyDescent="0.25">
      <c r="A86" s="6" t="s">
        <v>4693</v>
      </c>
      <c r="B86" s="3" t="s">
        <v>5771</v>
      </c>
      <c r="C86" s="4">
        <v>1</v>
      </c>
      <c r="D86" s="5">
        <v>64.989999999999995</v>
      </c>
      <c r="E86" s="4" t="s">
        <v>5772</v>
      </c>
      <c r="F86" s="3" t="s">
        <v>5532</v>
      </c>
      <c r="G86" s="7" t="s">
        <v>6025</v>
      </c>
      <c r="H86" s="3" t="s">
        <v>5722</v>
      </c>
      <c r="I86" s="3" t="s">
        <v>5773</v>
      </c>
      <c r="J86" s="3" t="s">
        <v>5536</v>
      </c>
      <c r="K86" s="3" t="s">
        <v>5774</v>
      </c>
      <c r="L86" s="8" t="str">
        <f>HYPERLINK("http://slimages.macys.com/is/image/MCY/14660852 ")</f>
        <v xml:space="preserve">http://slimages.macys.com/is/image/MCY/14660852 </v>
      </c>
    </row>
    <row r="87" spans="1:12" ht="24.75" x14ac:dyDescent="0.25">
      <c r="A87" s="6" t="s">
        <v>3566</v>
      </c>
      <c r="B87" s="3" t="s">
        <v>3567</v>
      </c>
      <c r="C87" s="4">
        <v>1</v>
      </c>
      <c r="D87" s="5">
        <v>64.989999999999995</v>
      </c>
      <c r="E87" s="4" t="s">
        <v>3568</v>
      </c>
      <c r="F87" s="3" t="s">
        <v>5566</v>
      </c>
      <c r="G87" s="7"/>
      <c r="H87" s="3" t="s">
        <v>5722</v>
      </c>
      <c r="I87" s="3" t="s">
        <v>5773</v>
      </c>
      <c r="J87" s="3" t="s">
        <v>5536</v>
      </c>
      <c r="K87" s="3" t="s">
        <v>5558</v>
      </c>
      <c r="L87" s="8" t="str">
        <f>HYPERLINK("http://slimages.macys.com/is/image/MCY/12670297 ")</f>
        <v xml:space="preserve">http://slimages.macys.com/is/image/MCY/12670297 </v>
      </c>
    </row>
    <row r="88" spans="1:12" ht="24.75" x14ac:dyDescent="0.25">
      <c r="A88" s="6" t="s">
        <v>3569</v>
      </c>
      <c r="B88" s="3" t="s">
        <v>3567</v>
      </c>
      <c r="C88" s="4">
        <v>1</v>
      </c>
      <c r="D88" s="5">
        <v>64.989999999999995</v>
      </c>
      <c r="E88" s="4" t="s">
        <v>3568</v>
      </c>
      <c r="F88" s="3" t="s">
        <v>5566</v>
      </c>
      <c r="G88" s="7" t="s">
        <v>5766</v>
      </c>
      <c r="H88" s="3" t="s">
        <v>5722</v>
      </c>
      <c r="I88" s="3" t="s">
        <v>5773</v>
      </c>
      <c r="J88" s="3" t="s">
        <v>5536</v>
      </c>
      <c r="K88" s="3" t="s">
        <v>5558</v>
      </c>
      <c r="L88" s="8" t="str">
        <f>HYPERLINK("http://slimages.macys.com/is/image/MCY/12670297 ")</f>
        <v xml:space="preserve">http://slimages.macys.com/is/image/MCY/12670297 </v>
      </c>
    </row>
    <row r="89" spans="1:12" ht="24.75" x14ac:dyDescent="0.25">
      <c r="A89" s="6" t="s">
        <v>5770</v>
      </c>
      <c r="B89" s="3" t="s">
        <v>5771</v>
      </c>
      <c r="C89" s="4">
        <v>1</v>
      </c>
      <c r="D89" s="5">
        <v>64.989999999999995</v>
      </c>
      <c r="E89" s="4" t="s">
        <v>5772</v>
      </c>
      <c r="F89" s="3" t="s">
        <v>5532</v>
      </c>
      <c r="G89" s="7" t="s">
        <v>5764</v>
      </c>
      <c r="H89" s="3" t="s">
        <v>5722</v>
      </c>
      <c r="I89" s="3" t="s">
        <v>5773</v>
      </c>
      <c r="J89" s="3" t="s">
        <v>5536</v>
      </c>
      <c r="K89" s="3" t="s">
        <v>5774</v>
      </c>
      <c r="L89" s="8" t="str">
        <f>HYPERLINK("http://slimages.macys.com/is/image/MCY/14660852 ")</f>
        <v xml:space="preserve">http://slimages.macys.com/is/image/MCY/14660852 </v>
      </c>
    </row>
    <row r="90" spans="1:12" ht="24.75" x14ac:dyDescent="0.25">
      <c r="A90" s="6" t="s">
        <v>5765</v>
      </c>
      <c r="B90" s="3" t="s">
        <v>5752</v>
      </c>
      <c r="C90" s="4">
        <v>1</v>
      </c>
      <c r="D90" s="5">
        <v>64.989999999999995</v>
      </c>
      <c r="E90" s="4" t="s">
        <v>5753</v>
      </c>
      <c r="F90" s="3" t="s">
        <v>5754</v>
      </c>
      <c r="G90" s="7" t="s">
        <v>5766</v>
      </c>
      <c r="H90" s="3" t="s">
        <v>5722</v>
      </c>
      <c r="I90" s="3" t="s">
        <v>5756</v>
      </c>
      <c r="J90" s="3" t="s">
        <v>5536</v>
      </c>
      <c r="K90" s="3" t="s">
        <v>5549</v>
      </c>
      <c r="L90" s="8" t="str">
        <f>HYPERLINK("http://slimages.macys.com/is/image/MCY/8823845 ")</f>
        <v xml:space="preserve">http://slimages.macys.com/is/image/MCY/8823845 </v>
      </c>
    </row>
    <row r="91" spans="1:12" ht="24.75" x14ac:dyDescent="0.25">
      <c r="A91" s="6" t="s">
        <v>4703</v>
      </c>
      <c r="B91" s="3" t="s">
        <v>4692</v>
      </c>
      <c r="C91" s="4">
        <v>1</v>
      </c>
      <c r="D91" s="5">
        <v>64.989999999999995</v>
      </c>
      <c r="E91" s="4" t="s">
        <v>5753</v>
      </c>
      <c r="F91" s="3" t="s">
        <v>5610</v>
      </c>
      <c r="G91" s="7" t="s">
        <v>5764</v>
      </c>
      <c r="H91" s="3" t="s">
        <v>5722</v>
      </c>
      <c r="I91" s="3" t="s">
        <v>5756</v>
      </c>
      <c r="J91" s="3" t="s">
        <v>5536</v>
      </c>
      <c r="K91" s="3" t="s">
        <v>5549</v>
      </c>
      <c r="L91" s="8" t="str">
        <f>HYPERLINK("http://slimages.macys.com/is/image/MCY/8823845 ")</f>
        <v xml:space="preserve">http://slimages.macys.com/is/image/MCY/8823845 </v>
      </c>
    </row>
    <row r="92" spans="1:12" ht="24.75" x14ac:dyDescent="0.25">
      <c r="A92" s="6" t="s">
        <v>3570</v>
      </c>
      <c r="B92" s="3" t="s">
        <v>5771</v>
      </c>
      <c r="C92" s="4">
        <v>1</v>
      </c>
      <c r="D92" s="5">
        <v>64.989999999999995</v>
      </c>
      <c r="E92" s="4" t="s">
        <v>7177</v>
      </c>
      <c r="F92" s="3" t="s">
        <v>5661</v>
      </c>
      <c r="G92" s="7" t="s">
        <v>5830</v>
      </c>
      <c r="H92" s="3" t="s">
        <v>5722</v>
      </c>
      <c r="I92" s="3" t="s">
        <v>5773</v>
      </c>
      <c r="J92" s="3" t="s">
        <v>5536</v>
      </c>
      <c r="K92" s="3" t="s">
        <v>5774</v>
      </c>
      <c r="L92" s="8" t="str">
        <f>HYPERLINK("http://slimages.macys.com/is/image/MCY/15146804 ")</f>
        <v xml:space="preserve">http://slimages.macys.com/is/image/MCY/15146804 </v>
      </c>
    </row>
    <row r="93" spans="1:12" ht="24.75" x14ac:dyDescent="0.25">
      <c r="A93" s="6" t="s">
        <v>3571</v>
      </c>
      <c r="B93" s="3" t="s">
        <v>3567</v>
      </c>
      <c r="C93" s="4">
        <v>1</v>
      </c>
      <c r="D93" s="5">
        <v>64.989999999999995</v>
      </c>
      <c r="E93" s="4" t="s">
        <v>3568</v>
      </c>
      <c r="F93" s="3" t="s">
        <v>5566</v>
      </c>
      <c r="G93" s="7" t="s">
        <v>6025</v>
      </c>
      <c r="H93" s="3" t="s">
        <v>5722</v>
      </c>
      <c r="I93" s="3" t="s">
        <v>5773</v>
      </c>
      <c r="J93" s="3" t="s">
        <v>5536</v>
      </c>
      <c r="K93" s="3" t="s">
        <v>5558</v>
      </c>
      <c r="L93" s="8" t="str">
        <f>HYPERLINK("http://slimages.macys.com/is/image/MCY/12670297 ")</f>
        <v xml:space="preserve">http://slimages.macys.com/is/image/MCY/12670297 </v>
      </c>
    </row>
    <row r="94" spans="1:12" ht="24.75" x14ac:dyDescent="0.25">
      <c r="A94" s="6" t="s">
        <v>3572</v>
      </c>
      <c r="B94" s="3" t="s">
        <v>3573</v>
      </c>
      <c r="C94" s="4">
        <v>1</v>
      </c>
      <c r="D94" s="5">
        <v>64.989999999999995</v>
      </c>
      <c r="E94" s="4" t="s">
        <v>3574</v>
      </c>
      <c r="F94" s="3" t="s">
        <v>6335</v>
      </c>
      <c r="G94" s="7" t="s">
        <v>5777</v>
      </c>
      <c r="H94" s="3" t="s">
        <v>5722</v>
      </c>
      <c r="I94" s="3" t="s">
        <v>5773</v>
      </c>
      <c r="J94" s="3" t="s">
        <v>5536</v>
      </c>
      <c r="K94" s="3" t="s">
        <v>5558</v>
      </c>
      <c r="L94" s="8" t="str">
        <f>HYPERLINK("http://slimages.macys.com/is/image/MCY/11667291 ")</f>
        <v xml:space="preserve">http://slimages.macys.com/is/image/MCY/11667291 </v>
      </c>
    </row>
    <row r="95" spans="1:12" ht="24.75" x14ac:dyDescent="0.25">
      <c r="A95" s="6" t="s">
        <v>3575</v>
      </c>
      <c r="B95" s="3" t="s">
        <v>3567</v>
      </c>
      <c r="C95" s="4">
        <v>1</v>
      </c>
      <c r="D95" s="5">
        <v>64.989999999999995</v>
      </c>
      <c r="E95" s="4" t="s">
        <v>3568</v>
      </c>
      <c r="F95" s="3" t="s">
        <v>5566</v>
      </c>
      <c r="G95" s="7"/>
      <c r="H95" s="3" t="s">
        <v>5722</v>
      </c>
      <c r="I95" s="3" t="s">
        <v>5773</v>
      </c>
      <c r="J95" s="3" t="s">
        <v>5536</v>
      </c>
      <c r="K95" s="3" t="s">
        <v>5558</v>
      </c>
      <c r="L95" s="8" t="str">
        <f>HYPERLINK("http://slimages.macys.com/is/image/MCY/12670297 ")</f>
        <v xml:space="preserve">http://slimages.macys.com/is/image/MCY/12670297 </v>
      </c>
    </row>
    <row r="96" spans="1:12" ht="24.75" x14ac:dyDescent="0.25">
      <c r="A96" s="6" t="s">
        <v>3576</v>
      </c>
      <c r="B96" s="3" t="s">
        <v>3567</v>
      </c>
      <c r="C96" s="4">
        <v>1</v>
      </c>
      <c r="D96" s="5">
        <v>64.989999999999995</v>
      </c>
      <c r="E96" s="4" t="s">
        <v>3568</v>
      </c>
      <c r="F96" s="3" t="s">
        <v>5566</v>
      </c>
      <c r="G96" s="7" t="s">
        <v>5777</v>
      </c>
      <c r="H96" s="3" t="s">
        <v>5722</v>
      </c>
      <c r="I96" s="3" t="s">
        <v>5773</v>
      </c>
      <c r="J96" s="3" t="s">
        <v>5536</v>
      </c>
      <c r="K96" s="3" t="s">
        <v>5558</v>
      </c>
      <c r="L96" s="8" t="str">
        <f>HYPERLINK("http://slimages.macys.com/is/image/MCY/12670297 ")</f>
        <v xml:space="preserve">http://slimages.macys.com/is/image/MCY/12670297 </v>
      </c>
    </row>
    <row r="97" spans="1:12" ht="24.75" x14ac:dyDescent="0.25">
      <c r="A97" s="6" t="s">
        <v>4695</v>
      </c>
      <c r="B97" s="3" t="s">
        <v>5771</v>
      </c>
      <c r="C97" s="4">
        <v>1</v>
      </c>
      <c r="D97" s="5">
        <v>64.989999999999995</v>
      </c>
      <c r="E97" s="4" t="s">
        <v>5772</v>
      </c>
      <c r="F97" s="3" t="s">
        <v>5532</v>
      </c>
      <c r="G97" s="7" t="s">
        <v>5755</v>
      </c>
      <c r="H97" s="3" t="s">
        <v>5722</v>
      </c>
      <c r="I97" s="3" t="s">
        <v>5773</v>
      </c>
      <c r="J97" s="3" t="s">
        <v>5536</v>
      </c>
      <c r="K97" s="3" t="s">
        <v>5774</v>
      </c>
      <c r="L97" s="8" t="str">
        <f>HYPERLINK("http://slimages.macys.com/is/image/MCY/14660852 ")</f>
        <v xml:space="preserve">http://slimages.macys.com/is/image/MCY/14660852 </v>
      </c>
    </row>
    <row r="98" spans="1:12" ht="24.75" x14ac:dyDescent="0.25">
      <c r="A98" s="6" t="s">
        <v>5769</v>
      </c>
      <c r="B98" s="3" t="s">
        <v>5752</v>
      </c>
      <c r="C98" s="4">
        <v>2</v>
      </c>
      <c r="D98" s="5">
        <v>129.97999999999999</v>
      </c>
      <c r="E98" s="4" t="s">
        <v>5753</v>
      </c>
      <c r="F98" s="3" t="s">
        <v>5754</v>
      </c>
      <c r="G98" s="7"/>
      <c r="H98" s="3" t="s">
        <v>5722</v>
      </c>
      <c r="I98" s="3" t="s">
        <v>5756</v>
      </c>
      <c r="J98" s="3" t="s">
        <v>5536</v>
      </c>
      <c r="K98" s="3" t="s">
        <v>5549</v>
      </c>
      <c r="L98" s="8" t="str">
        <f>HYPERLINK("http://slimages.macys.com/is/image/MCY/8823845 ")</f>
        <v xml:space="preserve">http://slimages.macys.com/is/image/MCY/8823845 </v>
      </c>
    </row>
    <row r="99" spans="1:12" ht="24.75" x14ac:dyDescent="0.25">
      <c r="A99" s="6" t="s">
        <v>3577</v>
      </c>
      <c r="B99" s="3" t="s">
        <v>5752</v>
      </c>
      <c r="C99" s="4">
        <v>1</v>
      </c>
      <c r="D99" s="5">
        <v>64.989999999999995</v>
      </c>
      <c r="E99" s="4" t="s">
        <v>5753</v>
      </c>
      <c r="F99" s="3" t="s">
        <v>5754</v>
      </c>
      <c r="G99" s="7"/>
      <c r="H99" s="3" t="s">
        <v>5722</v>
      </c>
      <c r="I99" s="3" t="s">
        <v>5756</v>
      </c>
      <c r="J99" s="3" t="s">
        <v>5536</v>
      </c>
      <c r="K99" s="3" t="s">
        <v>5549</v>
      </c>
      <c r="L99" s="8" t="str">
        <f>HYPERLINK("http://slimages.macys.com/is/image/MCY/8823845 ")</f>
        <v xml:space="preserve">http://slimages.macys.com/is/image/MCY/8823845 </v>
      </c>
    </row>
    <row r="100" spans="1:12" ht="24.75" x14ac:dyDescent="0.25">
      <c r="A100" s="6" t="s">
        <v>3578</v>
      </c>
      <c r="B100" s="3" t="s">
        <v>5771</v>
      </c>
      <c r="C100" s="4">
        <v>2</v>
      </c>
      <c r="D100" s="5">
        <v>129.97999999999999</v>
      </c>
      <c r="E100" s="4" t="s">
        <v>5772</v>
      </c>
      <c r="F100" s="3" t="s">
        <v>5532</v>
      </c>
      <c r="G100" s="7" t="s">
        <v>5777</v>
      </c>
      <c r="H100" s="3" t="s">
        <v>5722</v>
      </c>
      <c r="I100" s="3" t="s">
        <v>5773</v>
      </c>
      <c r="J100" s="3" t="s">
        <v>5536</v>
      </c>
      <c r="K100" s="3" t="s">
        <v>5774</v>
      </c>
      <c r="L100" s="8" t="str">
        <f>HYPERLINK("http://slimages.macys.com/is/image/MCY/14660852 ")</f>
        <v xml:space="preserve">http://slimages.macys.com/is/image/MCY/14660852 </v>
      </c>
    </row>
    <row r="101" spans="1:12" ht="24.75" x14ac:dyDescent="0.25">
      <c r="A101" s="6" t="s">
        <v>5776</v>
      </c>
      <c r="B101" s="3" t="s">
        <v>5752</v>
      </c>
      <c r="C101" s="4">
        <v>1</v>
      </c>
      <c r="D101" s="5">
        <v>64.989999999999995</v>
      </c>
      <c r="E101" s="4" t="s">
        <v>5753</v>
      </c>
      <c r="F101" s="3" t="s">
        <v>5754</v>
      </c>
      <c r="G101" s="7" t="s">
        <v>5777</v>
      </c>
      <c r="H101" s="3" t="s">
        <v>5722</v>
      </c>
      <c r="I101" s="3" t="s">
        <v>5756</v>
      </c>
      <c r="J101" s="3" t="s">
        <v>5536</v>
      </c>
      <c r="K101" s="3" t="s">
        <v>5549</v>
      </c>
      <c r="L101" s="8" t="str">
        <f>HYPERLINK("http://slimages.macys.com/is/image/MCY/8823845 ")</f>
        <v xml:space="preserve">http://slimages.macys.com/is/image/MCY/8823845 </v>
      </c>
    </row>
    <row r="102" spans="1:12" ht="24.75" x14ac:dyDescent="0.25">
      <c r="A102" s="6" t="s">
        <v>5780</v>
      </c>
      <c r="B102" s="3" t="s">
        <v>5781</v>
      </c>
      <c r="C102" s="4">
        <v>1</v>
      </c>
      <c r="D102" s="5">
        <v>64.989999999999995</v>
      </c>
      <c r="E102" s="4" t="s">
        <v>5782</v>
      </c>
      <c r="F102" s="3" t="s">
        <v>5783</v>
      </c>
      <c r="G102" s="7"/>
      <c r="H102" s="3" t="s">
        <v>5722</v>
      </c>
      <c r="I102" s="3" t="s">
        <v>5773</v>
      </c>
      <c r="J102" s="3" t="s">
        <v>5536</v>
      </c>
      <c r="K102" s="3" t="s">
        <v>5784</v>
      </c>
      <c r="L102" s="8" t="str">
        <f>HYPERLINK("http://slimages.macys.com/is/image/MCY/14441803 ")</f>
        <v xml:space="preserve">http://slimages.macys.com/is/image/MCY/14441803 </v>
      </c>
    </row>
    <row r="103" spans="1:12" ht="24.75" x14ac:dyDescent="0.25">
      <c r="A103" s="6" t="s">
        <v>3579</v>
      </c>
      <c r="B103" s="3" t="s">
        <v>3580</v>
      </c>
      <c r="C103" s="4">
        <v>1</v>
      </c>
      <c r="D103" s="5">
        <v>55</v>
      </c>
      <c r="E103" s="4" t="s">
        <v>3581</v>
      </c>
      <c r="F103" s="3" t="s">
        <v>5532</v>
      </c>
      <c r="G103" s="7" t="s">
        <v>5562</v>
      </c>
      <c r="H103" s="3" t="s">
        <v>4819</v>
      </c>
      <c r="I103" s="3" t="s">
        <v>4820</v>
      </c>
      <c r="J103" s="3" t="s">
        <v>5536</v>
      </c>
      <c r="K103" s="3" t="s">
        <v>5727</v>
      </c>
      <c r="L103" s="8" t="str">
        <f>HYPERLINK("http://slimages.macys.com/is/image/MCY/13337121 ")</f>
        <v xml:space="preserve">http://slimages.macys.com/is/image/MCY/13337121 </v>
      </c>
    </row>
    <row r="104" spans="1:12" ht="60.75" x14ac:dyDescent="0.25">
      <c r="A104" s="6" t="s">
        <v>3582</v>
      </c>
      <c r="B104" s="3" t="s">
        <v>3583</v>
      </c>
      <c r="C104" s="4">
        <v>1</v>
      </c>
      <c r="D104" s="5">
        <v>50</v>
      </c>
      <c r="E104" s="4" t="s">
        <v>3584</v>
      </c>
      <c r="F104" s="3" t="s">
        <v>5977</v>
      </c>
      <c r="G104" s="7" t="s">
        <v>5562</v>
      </c>
      <c r="H104" s="3" t="s">
        <v>3418</v>
      </c>
      <c r="I104" s="3" t="s">
        <v>3419</v>
      </c>
      <c r="J104" s="3" t="s">
        <v>5536</v>
      </c>
      <c r="K104" s="3" t="s">
        <v>3585</v>
      </c>
      <c r="L104" s="8" t="str">
        <f>HYPERLINK("http://slimages.macys.com/is/image/MCY/15394982 ")</f>
        <v xml:space="preserve">http://slimages.macys.com/is/image/MCY/15394982 </v>
      </c>
    </row>
    <row r="105" spans="1:12" ht="48.75" x14ac:dyDescent="0.25">
      <c r="A105" s="6" t="s">
        <v>3586</v>
      </c>
      <c r="B105" s="3" t="s">
        <v>7184</v>
      </c>
      <c r="C105" s="4">
        <v>1</v>
      </c>
      <c r="D105" s="5">
        <v>89.99</v>
      </c>
      <c r="E105" s="4" t="s">
        <v>7185</v>
      </c>
      <c r="F105" s="3" t="s">
        <v>5540</v>
      </c>
      <c r="G105" s="7" t="s">
        <v>5562</v>
      </c>
      <c r="H105" s="3" t="s">
        <v>6065</v>
      </c>
      <c r="I105" s="3" t="s">
        <v>6066</v>
      </c>
      <c r="J105" s="3" t="s">
        <v>5536</v>
      </c>
      <c r="K105" s="3" t="s">
        <v>7186</v>
      </c>
      <c r="L105" s="8" t="str">
        <f>HYPERLINK("http://slimages.macys.com/is/image/MCY/9121191 ")</f>
        <v xml:space="preserve">http://slimages.macys.com/is/image/MCY/9121191 </v>
      </c>
    </row>
    <row r="106" spans="1:12" ht="24.75" x14ac:dyDescent="0.25">
      <c r="A106" s="6" t="s">
        <v>3587</v>
      </c>
      <c r="B106" s="3" t="s">
        <v>5412</v>
      </c>
      <c r="C106" s="4">
        <v>1</v>
      </c>
      <c r="D106" s="5">
        <v>59.5</v>
      </c>
      <c r="E106" s="4" t="s">
        <v>3588</v>
      </c>
      <c r="F106" s="3" t="s">
        <v>5625</v>
      </c>
      <c r="G106" s="7" t="s">
        <v>5533</v>
      </c>
      <c r="H106" s="3" t="s">
        <v>6794</v>
      </c>
      <c r="I106" s="3" t="s">
        <v>5795</v>
      </c>
      <c r="J106" s="3" t="s">
        <v>5536</v>
      </c>
      <c r="K106" s="3" t="s">
        <v>5641</v>
      </c>
      <c r="L106" s="8" t="str">
        <f>HYPERLINK("http://slimages.macys.com/is/image/MCY/11718919 ")</f>
        <v xml:space="preserve">http://slimages.macys.com/is/image/MCY/11718919 </v>
      </c>
    </row>
    <row r="107" spans="1:12" ht="24.75" x14ac:dyDescent="0.25">
      <c r="A107" s="6" t="s">
        <v>5804</v>
      </c>
      <c r="B107" s="3" t="s">
        <v>5797</v>
      </c>
      <c r="C107" s="4">
        <v>1</v>
      </c>
      <c r="D107" s="5">
        <v>49.99</v>
      </c>
      <c r="E107" s="4">
        <v>1272355</v>
      </c>
      <c r="F107" s="3" t="s">
        <v>5540</v>
      </c>
      <c r="G107" s="7" t="s">
        <v>5799</v>
      </c>
      <c r="H107" s="3" t="s">
        <v>5726</v>
      </c>
      <c r="I107" s="3" t="s">
        <v>5726</v>
      </c>
      <c r="J107" s="3" t="s">
        <v>5536</v>
      </c>
      <c r="K107" s="3" t="s">
        <v>5800</v>
      </c>
      <c r="L107" s="8" t="str">
        <f>HYPERLINK("http://slimages.macys.com/is/image/MCY/12462462 ")</f>
        <v xml:space="preserve">http://slimages.macys.com/is/image/MCY/12462462 </v>
      </c>
    </row>
    <row r="108" spans="1:12" ht="24.75" x14ac:dyDescent="0.25">
      <c r="A108" s="6" t="s">
        <v>3589</v>
      </c>
      <c r="B108" s="3" t="s">
        <v>5797</v>
      </c>
      <c r="C108" s="4">
        <v>1</v>
      </c>
      <c r="D108" s="5">
        <v>49.99</v>
      </c>
      <c r="E108" s="4">
        <v>1272355</v>
      </c>
      <c r="F108" s="3" t="s">
        <v>5540</v>
      </c>
      <c r="G108" s="7" t="s">
        <v>5852</v>
      </c>
      <c r="H108" s="3" t="s">
        <v>5726</v>
      </c>
      <c r="I108" s="3" t="s">
        <v>5726</v>
      </c>
      <c r="J108" s="3" t="s">
        <v>5536</v>
      </c>
      <c r="K108" s="3" t="s">
        <v>5800</v>
      </c>
      <c r="L108" s="8" t="str">
        <f>HYPERLINK("http://slimages.macys.com/is/image/MCY/12462462 ")</f>
        <v xml:space="preserve">http://slimages.macys.com/is/image/MCY/12462462 </v>
      </c>
    </row>
    <row r="109" spans="1:12" ht="24.75" x14ac:dyDescent="0.25">
      <c r="A109" s="6" t="s">
        <v>4718</v>
      </c>
      <c r="B109" s="3" t="s">
        <v>5797</v>
      </c>
      <c r="C109" s="4">
        <v>2</v>
      </c>
      <c r="D109" s="5">
        <v>99.98</v>
      </c>
      <c r="E109" s="4">
        <v>1272355</v>
      </c>
      <c r="F109" s="3" t="s">
        <v>5798</v>
      </c>
      <c r="G109" s="7" t="s">
        <v>4491</v>
      </c>
      <c r="H109" s="3" t="s">
        <v>5726</v>
      </c>
      <c r="I109" s="3" t="s">
        <v>5726</v>
      </c>
      <c r="J109" s="3" t="s">
        <v>5536</v>
      </c>
      <c r="K109" s="3" t="s">
        <v>5800</v>
      </c>
      <c r="L109" s="8" t="str">
        <f>HYPERLINK("http://slimages.macys.com/is/image/MCY/12462462 ")</f>
        <v xml:space="preserve">http://slimages.macys.com/is/image/MCY/12462462 </v>
      </c>
    </row>
    <row r="110" spans="1:12" ht="24.75" x14ac:dyDescent="0.25">
      <c r="A110" s="6" t="s">
        <v>3590</v>
      </c>
      <c r="B110" s="3" t="s">
        <v>5797</v>
      </c>
      <c r="C110" s="4">
        <v>1</v>
      </c>
      <c r="D110" s="5">
        <v>49.99</v>
      </c>
      <c r="E110" s="4">
        <v>1272355</v>
      </c>
      <c r="F110" s="3" t="s">
        <v>5578</v>
      </c>
      <c r="G110" s="7" t="s">
        <v>4491</v>
      </c>
      <c r="H110" s="3" t="s">
        <v>5726</v>
      </c>
      <c r="I110" s="3" t="s">
        <v>5726</v>
      </c>
      <c r="J110" s="3" t="s">
        <v>5536</v>
      </c>
      <c r="K110" s="3" t="s">
        <v>5800</v>
      </c>
      <c r="L110" s="8" t="str">
        <f>HYPERLINK("http://slimages.macys.com/is/image/MCY/12462462 ")</f>
        <v xml:space="preserve">http://slimages.macys.com/is/image/MCY/12462462 </v>
      </c>
    </row>
    <row r="111" spans="1:12" ht="24.75" x14ac:dyDescent="0.25">
      <c r="A111" s="6" t="s">
        <v>3591</v>
      </c>
      <c r="B111" s="3" t="s">
        <v>3592</v>
      </c>
      <c r="C111" s="4">
        <v>1</v>
      </c>
      <c r="D111" s="5">
        <v>59.5</v>
      </c>
      <c r="E111" s="4" t="s">
        <v>3593</v>
      </c>
      <c r="F111" s="3" t="s">
        <v>5783</v>
      </c>
      <c r="G111" s="7" t="s">
        <v>5779</v>
      </c>
      <c r="H111" s="3" t="s">
        <v>5722</v>
      </c>
      <c r="I111" s="3" t="s">
        <v>3594</v>
      </c>
      <c r="J111" s="3" t="s">
        <v>5536</v>
      </c>
      <c r="K111" s="3" t="s">
        <v>6021</v>
      </c>
      <c r="L111" s="8" t="str">
        <f>HYPERLINK("http://slimages.macys.com/is/image/MCY/10124246 ")</f>
        <v xml:space="preserve">http://slimages.macys.com/is/image/MCY/10124246 </v>
      </c>
    </row>
    <row r="112" spans="1:12" ht="24.75" x14ac:dyDescent="0.25">
      <c r="A112" s="6" t="s">
        <v>3595</v>
      </c>
      <c r="B112" s="3" t="s">
        <v>3596</v>
      </c>
      <c r="C112" s="4">
        <v>1</v>
      </c>
      <c r="D112" s="5">
        <v>58</v>
      </c>
      <c r="E112" s="4" t="s">
        <v>3597</v>
      </c>
      <c r="F112" s="3" t="s">
        <v>5532</v>
      </c>
      <c r="G112" s="7" t="s">
        <v>5631</v>
      </c>
      <c r="H112" s="3" t="s">
        <v>5617</v>
      </c>
      <c r="I112" s="3" t="s">
        <v>5618</v>
      </c>
      <c r="J112" s="3" t="s">
        <v>5536</v>
      </c>
      <c r="K112" s="3" t="s">
        <v>3598</v>
      </c>
      <c r="L112" s="8" t="str">
        <f>HYPERLINK("http://slimages.macys.com/is/image/MCY/9900931 ")</f>
        <v xml:space="preserve">http://slimages.macys.com/is/image/MCY/9900931 </v>
      </c>
    </row>
    <row r="113" spans="1:12" ht="24.75" x14ac:dyDescent="0.25">
      <c r="A113" s="6" t="s">
        <v>4727</v>
      </c>
      <c r="B113" s="3" t="s">
        <v>5813</v>
      </c>
      <c r="C113" s="4">
        <v>1</v>
      </c>
      <c r="D113" s="5">
        <v>57.99</v>
      </c>
      <c r="E113" s="4" t="s">
        <v>5814</v>
      </c>
      <c r="F113" s="3" t="s">
        <v>5815</v>
      </c>
      <c r="G113" s="7"/>
      <c r="H113" s="3" t="s">
        <v>5722</v>
      </c>
      <c r="I113" s="3" t="s">
        <v>5773</v>
      </c>
      <c r="J113" s="3" t="s">
        <v>5536</v>
      </c>
      <c r="K113" s="3" t="s">
        <v>5558</v>
      </c>
      <c r="L113" s="8" t="str">
        <f>HYPERLINK("http://slimages.macys.com/is/image/MCY/8837853 ")</f>
        <v xml:space="preserve">http://slimages.macys.com/is/image/MCY/8837853 </v>
      </c>
    </row>
    <row r="114" spans="1:12" ht="24.75" x14ac:dyDescent="0.25">
      <c r="A114" s="6" t="s">
        <v>3826</v>
      </c>
      <c r="B114" s="3" t="s">
        <v>5813</v>
      </c>
      <c r="C114" s="4">
        <v>1</v>
      </c>
      <c r="D114" s="5">
        <v>57.99</v>
      </c>
      <c r="E114" s="4" t="s">
        <v>5814</v>
      </c>
      <c r="F114" s="3" t="s">
        <v>5815</v>
      </c>
      <c r="G114" s="7" t="s">
        <v>5768</v>
      </c>
      <c r="H114" s="3" t="s">
        <v>5722</v>
      </c>
      <c r="I114" s="3" t="s">
        <v>5773</v>
      </c>
      <c r="J114" s="3" t="s">
        <v>5536</v>
      </c>
      <c r="K114" s="3" t="s">
        <v>5558</v>
      </c>
      <c r="L114" s="8" t="str">
        <f>HYPERLINK("http://slimages.macys.com/is/image/MCY/8837853 ")</f>
        <v xml:space="preserve">http://slimages.macys.com/is/image/MCY/8837853 </v>
      </c>
    </row>
    <row r="115" spans="1:12" ht="24.75" x14ac:dyDescent="0.25">
      <c r="A115" s="6" t="s">
        <v>4725</v>
      </c>
      <c r="B115" s="3" t="s">
        <v>5813</v>
      </c>
      <c r="C115" s="4">
        <v>1</v>
      </c>
      <c r="D115" s="5">
        <v>57.99</v>
      </c>
      <c r="E115" s="4" t="s">
        <v>5814</v>
      </c>
      <c r="F115" s="3" t="s">
        <v>5815</v>
      </c>
      <c r="G115" s="7" t="s">
        <v>5764</v>
      </c>
      <c r="H115" s="3" t="s">
        <v>5722</v>
      </c>
      <c r="I115" s="3" t="s">
        <v>5773</v>
      </c>
      <c r="J115" s="3" t="s">
        <v>5536</v>
      </c>
      <c r="K115" s="3" t="s">
        <v>5558</v>
      </c>
      <c r="L115" s="8" t="str">
        <f>HYPERLINK("http://slimages.macys.com/is/image/MCY/8837853 ")</f>
        <v xml:space="preserve">http://slimages.macys.com/is/image/MCY/8837853 </v>
      </c>
    </row>
    <row r="116" spans="1:12" ht="24.75" x14ac:dyDescent="0.25">
      <c r="A116" s="6" t="s">
        <v>3599</v>
      </c>
      <c r="B116" s="3" t="s">
        <v>3600</v>
      </c>
      <c r="C116" s="4">
        <v>1</v>
      </c>
      <c r="D116" s="5">
        <v>55</v>
      </c>
      <c r="E116" s="4" t="s">
        <v>3601</v>
      </c>
      <c r="F116" s="3" t="s">
        <v>5604</v>
      </c>
      <c r="G116" s="7" t="s">
        <v>5533</v>
      </c>
      <c r="H116" s="3" t="s">
        <v>7211</v>
      </c>
      <c r="I116" s="3" t="s">
        <v>7212</v>
      </c>
      <c r="J116" s="3" t="s">
        <v>5536</v>
      </c>
      <c r="K116" s="3" t="s">
        <v>5727</v>
      </c>
      <c r="L116" s="8" t="str">
        <f>HYPERLINK("http://slimages.macys.com/is/image/MCY/12716226 ")</f>
        <v xml:space="preserve">http://slimages.macys.com/is/image/MCY/12716226 </v>
      </c>
    </row>
    <row r="117" spans="1:12" ht="24.75" x14ac:dyDescent="0.25">
      <c r="A117" s="6" t="s">
        <v>3602</v>
      </c>
      <c r="B117" s="3" t="s">
        <v>3603</v>
      </c>
      <c r="C117" s="4">
        <v>1</v>
      </c>
      <c r="D117" s="5">
        <v>55</v>
      </c>
      <c r="E117" s="4" t="s">
        <v>3604</v>
      </c>
      <c r="F117" s="3" t="s">
        <v>5566</v>
      </c>
      <c r="G117" s="7" t="s">
        <v>5562</v>
      </c>
      <c r="H117" s="3" t="s">
        <v>7211</v>
      </c>
      <c r="I117" s="3" t="s">
        <v>7212</v>
      </c>
      <c r="J117" s="3" t="s">
        <v>5536</v>
      </c>
      <c r="K117" s="3" t="s">
        <v>5727</v>
      </c>
      <c r="L117" s="8" t="str">
        <f>HYPERLINK("http://slimages.macys.com/is/image/MCY/12716226 ")</f>
        <v xml:space="preserve">http://slimages.macys.com/is/image/MCY/12716226 </v>
      </c>
    </row>
    <row r="118" spans="1:12" ht="24.75" x14ac:dyDescent="0.25">
      <c r="A118" s="6" t="s">
        <v>3605</v>
      </c>
      <c r="B118" s="3" t="s">
        <v>3606</v>
      </c>
      <c r="C118" s="4">
        <v>1</v>
      </c>
      <c r="D118" s="5">
        <v>55</v>
      </c>
      <c r="E118" s="4" t="s">
        <v>3607</v>
      </c>
      <c r="F118" s="3" t="s">
        <v>6983</v>
      </c>
      <c r="G118" s="7" t="s">
        <v>5596</v>
      </c>
      <c r="H118" s="3" t="s">
        <v>7211</v>
      </c>
      <c r="I118" s="3" t="s">
        <v>7212</v>
      </c>
      <c r="J118" s="3" t="s">
        <v>5536</v>
      </c>
      <c r="K118" s="3" t="s">
        <v>5727</v>
      </c>
      <c r="L118" s="8" t="str">
        <f>HYPERLINK("http://slimages.macys.com/is/image/MCY/12723733 ")</f>
        <v xml:space="preserve">http://slimages.macys.com/is/image/MCY/12723733 </v>
      </c>
    </row>
    <row r="119" spans="1:12" ht="24.75" x14ac:dyDescent="0.25">
      <c r="A119" s="6" t="s">
        <v>3608</v>
      </c>
      <c r="B119" s="3" t="s">
        <v>3603</v>
      </c>
      <c r="C119" s="4">
        <v>2</v>
      </c>
      <c r="D119" s="5">
        <v>110</v>
      </c>
      <c r="E119" s="4" t="s">
        <v>3604</v>
      </c>
      <c r="F119" s="3" t="s">
        <v>5566</v>
      </c>
      <c r="G119" s="7" t="s">
        <v>5598</v>
      </c>
      <c r="H119" s="3" t="s">
        <v>7211</v>
      </c>
      <c r="I119" s="3" t="s">
        <v>7212</v>
      </c>
      <c r="J119" s="3" t="s">
        <v>5536</v>
      </c>
      <c r="K119" s="3" t="s">
        <v>5727</v>
      </c>
      <c r="L119" s="8" t="str">
        <f>HYPERLINK("http://slimages.macys.com/is/image/MCY/12716226 ")</f>
        <v xml:space="preserve">http://slimages.macys.com/is/image/MCY/12716226 </v>
      </c>
    </row>
    <row r="120" spans="1:12" ht="24.75" x14ac:dyDescent="0.25">
      <c r="A120" s="6" t="s">
        <v>3609</v>
      </c>
      <c r="B120" s="3" t="s">
        <v>3610</v>
      </c>
      <c r="C120" s="4">
        <v>1</v>
      </c>
      <c r="D120" s="5">
        <v>62</v>
      </c>
      <c r="E120" s="4" t="s">
        <v>3611</v>
      </c>
      <c r="F120" s="3" t="s">
        <v>5661</v>
      </c>
      <c r="G120" s="7" t="s">
        <v>5562</v>
      </c>
      <c r="H120" s="3" t="s">
        <v>5842</v>
      </c>
      <c r="I120" s="3" t="s">
        <v>6082</v>
      </c>
      <c r="J120" s="3" t="s">
        <v>5536</v>
      </c>
      <c r="K120" s="3" t="s">
        <v>5844</v>
      </c>
      <c r="L120" s="8" t="str">
        <f>HYPERLINK("http://slimages.macys.com/is/image/MCY/14619225 ")</f>
        <v xml:space="preserve">http://slimages.macys.com/is/image/MCY/14619225 </v>
      </c>
    </row>
    <row r="121" spans="1:12" ht="24.75" x14ac:dyDescent="0.25">
      <c r="A121" s="6" t="s">
        <v>3612</v>
      </c>
      <c r="B121" s="3" t="s">
        <v>3610</v>
      </c>
      <c r="C121" s="4">
        <v>1</v>
      </c>
      <c r="D121" s="5">
        <v>62</v>
      </c>
      <c r="E121" s="4" t="s">
        <v>3611</v>
      </c>
      <c r="F121" s="3" t="s">
        <v>5661</v>
      </c>
      <c r="G121" s="7" t="s">
        <v>5533</v>
      </c>
      <c r="H121" s="3" t="s">
        <v>5842</v>
      </c>
      <c r="I121" s="3" t="s">
        <v>6082</v>
      </c>
      <c r="J121" s="3" t="s">
        <v>5536</v>
      </c>
      <c r="K121" s="3" t="s">
        <v>5844</v>
      </c>
      <c r="L121" s="8" t="str">
        <f>HYPERLINK("http://slimages.macys.com/is/image/MCY/14619225 ")</f>
        <v xml:space="preserve">http://slimages.macys.com/is/image/MCY/14619225 </v>
      </c>
    </row>
    <row r="122" spans="1:12" ht="24.75" x14ac:dyDescent="0.25">
      <c r="A122" s="6" t="s">
        <v>3613</v>
      </c>
      <c r="B122" s="3" t="s">
        <v>5818</v>
      </c>
      <c r="C122" s="4">
        <v>1</v>
      </c>
      <c r="D122" s="5">
        <v>69.989999999999995</v>
      </c>
      <c r="E122" s="4" t="s">
        <v>5819</v>
      </c>
      <c r="F122" s="3" t="s">
        <v>5820</v>
      </c>
      <c r="G122" s="7" t="s">
        <v>5816</v>
      </c>
      <c r="H122" s="3" t="s">
        <v>5722</v>
      </c>
      <c r="I122" s="3" t="s">
        <v>5756</v>
      </c>
      <c r="J122" s="3" t="s">
        <v>5536</v>
      </c>
      <c r="K122" s="3" t="s">
        <v>5641</v>
      </c>
      <c r="L122" s="8" t="str">
        <f>HYPERLINK("http://slimages.macys.com/is/image/MCY/14800616 ")</f>
        <v xml:space="preserve">http://slimages.macys.com/is/image/MCY/14800616 </v>
      </c>
    </row>
    <row r="123" spans="1:12" ht="24.75" x14ac:dyDescent="0.25">
      <c r="A123" s="6" t="s">
        <v>3614</v>
      </c>
      <c r="B123" s="3" t="s">
        <v>3615</v>
      </c>
      <c r="C123" s="4">
        <v>1</v>
      </c>
      <c r="D123" s="5">
        <v>49.99</v>
      </c>
      <c r="E123" s="4">
        <v>471230206</v>
      </c>
      <c r="F123" s="3" t="s">
        <v>5532</v>
      </c>
      <c r="G123" s="7" t="s">
        <v>5605</v>
      </c>
      <c r="H123" s="3" t="s">
        <v>5807</v>
      </c>
      <c r="I123" s="3" t="s">
        <v>5808</v>
      </c>
      <c r="J123" s="3" t="s">
        <v>5536</v>
      </c>
      <c r="K123" s="3" t="s">
        <v>5641</v>
      </c>
      <c r="L123" s="8" t="str">
        <f>HYPERLINK("http://slimages.macys.com/is/image/MCY/10617069 ")</f>
        <v xml:space="preserve">http://slimages.macys.com/is/image/MCY/10617069 </v>
      </c>
    </row>
    <row r="124" spans="1:12" ht="24.75" x14ac:dyDescent="0.25">
      <c r="A124" s="6" t="s">
        <v>5829</v>
      </c>
      <c r="B124" s="3" t="s">
        <v>5822</v>
      </c>
      <c r="C124" s="4">
        <v>1</v>
      </c>
      <c r="D124" s="5">
        <v>23</v>
      </c>
      <c r="E124" s="4" t="s">
        <v>5823</v>
      </c>
      <c r="F124" s="3" t="s">
        <v>5532</v>
      </c>
      <c r="G124" s="7" t="s">
        <v>5830</v>
      </c>
      <c r="H124" s="3" t="s">
        <v>5825</v>
      </c>
      <c r="I124" s="3" t="s">
        <v>5826</v>
      </c>
      <c r="J124" s="3" t="s">
        <v>5536</v>
      </c>
      <c r="K124" s="3" t="s">
        <v>5549</v>
      </c>
      <c r="L124" s="8" t="str">
        <f>HYPERLINK("http://slimages.macys.com/is/image/MCY/16268498 ")</f>
        <v xml:space="preserve">http://slimages.macys.com/is/image/MCY/16268498 </v>
      </c>
    </row>
    <row r="125" spans="1:12" ht="24.75" x14ac:dyDescent="0.25">
      <c r="A125" s="6" t="s">
        <v>5827</v>
      </c>
      <c r="B125" s="3" t="s">
        <v>5822</v>
      </c>
      <c r="C125" s="4">
        <v>1</v>
      </c>
      <c r="D125" s="5">
        <v>23</v>
      </c>
      <c r="E125" s="4" t="s">
        <v>5823</v>
      </c>
      <c r="F125" s="3" t="s">
        <v>5532</v>
      </c>
      <c r="G125" s="7" t="s">
        <v>5762</v>
      </c>
      <c r="H125" s="3" t="s">
        <v>5825</v>
      </c>
      <c r="I125" s="3" t="s">
        <v>5826</v>
      </c>
      <c r="J125" s="3" t="s">
        <v>5536</v>
      </c>
      <c r="K125" s="3" t="s">
        <v>5549</v>
      </c>
      <c r="L125" s="8" t="str">
        <f>HYPERLINK("http://slimages.macys.com/is/image/MCY/16268498 ")</f>
        <v xml:space="preserve">http://slimages.macys.com/is/image/MCY/16268498 </v>
      </c>
    </row>
    <row r="126" spans="1:12" x14ac:dyDescent="0.25">
      <c r="A126" s="6" t="s">
        <v>3616</v>
      </c>
      <c r="B126" s="3" t="s">
        <v>3617</v>
      </c>
      <c r="C126" s="4">
        <v>1</v>
      </c>
      <c r="D126" s="5">
        <v>70</v>
      </c>
      <c r="E126" s="4">
        <v>100095880</v>
      </c>
      <c r="F126" s="3" t="s">
        <v>6075</v>
      </c>
      <c r="G126" s="7" t="s">
        <v>5598</v>
      </c>
      <c r="H126" s="3" t="s">
        <v>5585</v>
      </c>
      <c r="I126" s="3" t="s">
        <v>5586</v>
      </c>
      <c r="J126" s="3" t="s">
        <v>5536</v>
      </c>
      <c r="K126" s="3" t="s">
        <v>6021</v>
      </c>
      <c r="L126" s="8" t="str">
        <f>HYPERLINK("http://slimages.macys.com/is/image/MCY/16360935 ")</f>
        <v xml:space="preserve">http://slimages.macys.com/is/image/MCY/16360935 </v>
      </c>
    </row>
    <row r="127" spans="1:12" x14ac:dyDescent="0.25">
      <c r="A127" s="6" t="s">
        <v>3618</v>
      </c>
      <c r="B127" s="3" t="s">
        <v>3837</v>
      </c>
      <c r="C127" s="4">
        <v>1</v>
      </c>
      <c r="D127" s="5">
        <v>75</v>
      </c>
      <c r="E127" s="4">
        <v>100081901</v>
      </c>
      <c r="F127" s="3" t="s">
        <v>5540</v>
      </c>
      <c r="G127" s="7" t="s">
        <v>5598</v>
      </c>
      <c r="H127" s="3" t="s">
        <v>5585</v>
      </c>
      <c r="I127" s="3" t="s">
        <v>5734</v>
      </c>
      <c r="J127" s="3" t="s">
        <v>5536</v>
      </c>
      <c r="K127" s="3" t="s">
        <v>5549</v>
      </c>
      <c r="L127" s="8" t="str">
        <f>HYPERLINK("http://slimages.macys.com/is/image/MCY/16135616 ")</f>
        <v xml:space="preserve">http://slimages.macys.com/is/image/MCY/16135616 </v>
      </c>
    </row>
    <row r="128" spans="1:12" ht="24.75" x14ac:dyDescent="0.25">
      <c r="A128" s="6" t="s">
        <v>4763</v>
      </c>
      <c r="B128" s="3" t="s">
        <v>4757</v>
      </c>
      <c r="C128" s="4">
        <v>1</v>
      </c>
      <c r="D128" s="5">
        <v>53.99</v>
      </c>
      <c r="E128" s="4">
        <v>1123442</v>
      </c>
      <c r="F128" s="3" t="s">
        <v>5793</v>
      </c>
      <c r="G128" s="7" t="s">
        <v>5764</v>
      </c>
      <c r="H128" s="3" t="s">
        <v>5722</v>
      </c>
      <c r="I128" s="3" t="s">
        <v>4758</v>
      </c>
      <c r="J128" s="3" t="s">
        <v>5536</v>
      </c>
      <c r="K128" s="3" t="s">
        <v>5594</v>
      </c>
      <c r="L128" s="8" t="str">
        <f>HYPERLINK("http://slimages.macys.com/is/image/MCY/15848709 ")</f>
        <v xml:space="preserve">http://slimages.macys.com/is/image/MCY/15848709 </v>
      </c>
    </row>
    <row r="129" spans="1:12" ht="24.75" x14ac:dyDescent="0.25">
      <c r="A129" s="6" t="s">
        <v>4766</v>
      </c>
      <c r="B129" s="3" t="s">
        <v>4757</v>
      </c>
      <c r="C129" s="4">
        <v>1</v>
      </c>
      <c r="D129" s="5">
        <v>53.99</v>
      </c>
      <c r="E129" s="4">
        <v>1123442</v>
      </c>
      <c r="F129" s="3" t="s">
        <v>5793</v>
      </c>
      <c r="G129" s="7" t="s">
        <v>5779</v>
      </c>
      <c r="H129" s="3" t="s">
        <v>5722</v>
      </c>
      <c r="I129" s="3" t="s">
        <v>4758</v>
      </c>
      <c r="J129" s="3" t="s">
        <v>5536</v>
      </c>
      <c r="K129" s="3" t="s">
        <v>5594</v>
      </c>
      <c r="L129" s="8" t="str">
        <f>HYPERLINK("http://slimages.macys.com/is/image/MCY/15848709 ")</f>
        <v xml:space="preserve">http://slimages.macys.com/is/image/MCY/15848709 </v>
      </c>
    </row>
    <row r="130" spans="1:12" ht="24.75" x14ac:dyDescent="0.25">
      <c r="A130" s="6" t="s">
        <v>3619</v>
      </c>
      <c r="B130" s="3" t="s">
        <v>4757</v>
      </c>
      <c r="C130" s="4">
        <v>1</v>
      </c>
      <c r="D130" s="5">
        <v>53.99</v>
      </c>
      <c r="E130" s="4">
        <v>1123442</v>
      </c>
      <c r="F130" s="3" t="s">
        <v>5793</v>
      </c>
      <c r="G130" s="7"/>
      <c r="H130" s="3" t="s">
        <v>5722</v>
      </c>
      <c r="I130" s="3" t="s">
        <v>4758</v>
      </c>
      <c r="J130" s="3" t="s">
        <v>5536</v>
      </c>
      <c r="K130" s="3" t="s">
        <v>5594</v>
      </c>
      <c r="L130" s="8" t="str">
        <f>HYPERLINK("http://slimages.macys.com/is/image/MCY/15848709 ")</f>
        <v xml:space="preserve">http://slimages.macys.com/is/image/MCY/15848709 </v>
      </c>
    </row>
    <row r="131" spans="1:12" ht="24.75" x14ac:dyDescent="0.25">
      <c r="A131" s="6" t="s">
        <v>3620</v>
      </c>
      <c r="B131" s="3" t="s">
        <v>3621</v>
      </c>
      <c r="C131" s="4">
        <v>1</v>
      </c>
      <c r="D131" s="5">
        <v>53.99</v>
      </c>
      <c r="E131" s="4">
        <v>1123461</v>
      </c>
      <c r="F131" s="3" t="s">
        <v>5566</v>
      </c>
      <c r="G131" s="7" t="s">
        <v>6476</v>
      </c>
      <c r="H131" s="3" t="s">
        <v>5722</v>
      </c>
      <c r="I131" s="3" t="s">
        <v>4758</v>
      </c>
      <c r="J131" s="3" t="s">
        <v>5536</v>
      </c>
      <c r="K131" s="3" t="s">
        <v>5594</v>
      </c>
      <c r="L131" s="8" t="str">
        <f>HYPERLINK("http://slimages.macys.com/is/image/MCY/12701717 ")</f>
        <v xml:space="preserve">http://slimages.macys.com/is/image/MCY/12701717 </v>
      </c>
    </row>
    <row r="132" spans="1:12" ht="24.75" x14ac:dyDescent="0.25">
      <c r="A132" s="6" t="s">
        <v>4767</v>
      </c>
      <c r="B132" s="3" t="s">
        <v>4757</v>
      </c>
      <c r="C132" s="4">
        <v>1</v>
      </c>
      <c r="D132" s="5">
        <v>53.99</v>
      </c>
      <c r="E132" s="4">
        <v>1123442</v>
      </c>
      <c r="F132" s="3" t="s">
        <v>5793</v>
      </c>
      <c r="G132" s="7" t="s">
        <v>5766</v>
      </c>
      <c r="H132" s="3" t="s">
        <v>5722</v>
      </c>
      <c r="I132" s="3" t="s">
        <v>4758</v>
      </c>
      <c r="J132" s="3" t="s">
        <v>5536</v>
      </c>
      <c r="K132" s="3" t="s">
        <v>5594</v>
      </c>
      <c r="L132" s="8" t="str">
        <f>HYPERLINK("http://slimages.macys.com/is/image/MCY/15848709 ")</f>
        <v xml:space="preserve">http://slimages.macys.com/is/image/MCY/15848709 </v>
      </c>
    </row>
    <row r="133" spans="1:12" ht="24.75" x14ac:dyDescent="0.25">
      <c r="A133" s="6" t="s">
        <v>4759</v>
      </c>
      <c r="B133" s="3" t="s">
        <v>4757</v>
      </c>
      <c r="C133" s="4">
        <v>3</v>
      </c>
      <c r="D133" s="5">
        <v>161.97</v>
      </c>
      <c r="E133" s="4">
        <v>1123442</v>
      </c>
      <c r="F133" s="3" t="s">
        <v>5793</v>
      </c>
      <c r="G133" s="7" t="s">
        <v>5777</v>
      </c>
      <c r="H133" s="3" t="s">
        <v>5722</v>
      </c>
      <c r="I133" s="3" t="s">
        <v>4758</v>
      </c>
      <c r="J133" s="3" t="s">
        <v>5536</v>
      </c>
      <c r="K133" s="3" t="s">
        <v>5594</v>
      </c>
      <c r="L133" s="8" t="str">
        <f>HYPERLINK("http://slimages.macys.com/is/image/MCY/15848709 ")</f>
        <v xml:space="preserve">http://slimages.macys.com/is/image/MCY/15848709 </v>
      </c>
    </row>
    <row r="134" spans="1:12" ht="24.75" x14ac:dyDescent="0.25">
      <c r="A134" s="6" t="s">
        <v>4762</v>
      </c>
      <c r="B134" s="3" t="s">
        <v>4757</v>
      </c>
      <c r="C134" s="4">
        <v>1</v>
      </c>
      <c r="D134" s="5">
        <v>53.99</v>
      </c>
      <c r="E134" s="4">
        <v>1123442</v>
      </c>
      <c r="F134" s="3" t="s">
        <v>5793</v>
      </c>
      <c r="G134" s="7" t="s">
        <v>5768</v>
      </c>
      <c r="H134" s="3" t="s">
        <v>5722</v>
      </c>
      <c r="I134" s="3" t="s">
        <v>4758</v>
      </c>
      <c r="J134" s="3" t="s">
        <v>5536</v>
      </c>
      <c r="K134" s="3" t="s">
        <v>5594</v>
      </c>
      <c r="L134" s="8" t="str">
        <f>HYPERLINK("http://slimages.macys.com/is/image/MCY/15848709 ")</f>
        <v xml:space="preserve">http://slimages.macys.com/is/image/MCY/15848709 </v>
      </c>
    </row>
    <row r="135" spans="1:12" ht="24.75" x14ac:dyDescent="0.25">
      <c r="A135" s="6" t="s">
        <v>3622</v>
      </c>
      <c r="B135" s="3" t="s">
        <v>3621</v>
      </c>
      <c r="C135" s="4">
        <v>1</v>
      </c>
      <c r="D135" s="5">
        <v>53.99</v>
      </c>
      <c r="E135" s="4">
        <v>1123461</v>
      </c>
      <c r="F135" s="3" t="s">
        <v>6335</v>
      </c>
      <c r="G135" s="7" t="s">
        <v>6476</v>
      </c>
      <c r="H135" s="3" t="s">
        <v>5722</v>
      </c>
      <c r="I135" s="3" t="s">
        <v>4758</v>
      </c>
      <c r="J135" s="3" t="s">
        <v>5536</v>
      </c>
      <c r="K135" s="3" t="s">
        <v>5594</v>
      </c>
      <c r="L135" s="8" t="str">
        <f>HYPERLINK("http://slimages.macys.com/is/image/MCY/12701717 ")</f>
        <v xml:space="preserve">http://slimages.macys.com/is/image/MCY/12701717 </v>
      </c>
    </row>
    <row r="136" spans="1:12" ht="24.75" x14ac:dyDescent="0.25">
      <c r="A136" s="6" t="s">
        <v>4761</v>
      </c>
      <c r="B136" s="3" t="s">
        <v>4757</v>
      </c>
      <c r="C136" s="4">
        <v>1</v>
      </c>
      <c r="D136" s="5">
        <v>53.99</v>
      </c>
      <c r="E136" s="4">
        <v>1123442</v>
      </c>
      <c r="F136" s="3" t="s">
        <v>5793</v>
      </c>
      <c r="G136" s="7"/>
      <c r="H136" s="3" t="s">
        <v>5722</v>
      </c>
      <c r="I136" s="3" t="s">
        <v>4758</v>
      </c>
      <c r="J136" s="3" t="s">
        <v>5536</v>
      </c>
      <c r="K136" s="3" t="s">
        <v>5594</v>
      </c>
      <c r="L136" s="8" t="str">
        <f>HYPERLINK("http://slimages.macys.com/is/image/MCY/15848709 ")</f>
        <v xml:space="preserve">http://slimages.macys.com/is/image/MCY/15848709 </v>
      </c>
    </row>
    <row r="137" spans="1:12" ht="24.75" x14ac:dyDescent="0.25">
      <c r="A137" s="6" t="s">
        <v>3623</v>
      </c>
      <c r="B137" s="3" t="s">
        <v>4757</v>
      </c>
      <c r="C137" s="4">
        <v>1</v>
      </c>
      <c r="D137" s="5">
        <v>53.99</v>
      </c>
      <c r="E137" s="4">
        <v>1123442</v>
      </c>
      <c r="F137" s="3" t="s">
        <v>5793</v>
      </c>
      <c r="G137" s="7" t="s">
        <v>5762</v>
      </c>
      <c r="H137" s="3" t="s">
        <v>5722</v>
      </c>
      <c r="I137" s="3" t="s">
        <v>4758</v>
      </c>
      <c r="J137" s="3" t="s">
        <v>5536</v>
      </c>
      <c r="K137" s="3" t="s">
        <v>5594</v>
      </c>
      <c r="L137" s="8" t="str">
        <f>HYPERLINK("http://slimages.macys.com/is/image/MCY/15848709 ")</f>
        <v xml:space="preserve">http://slimages.macys.com/is/image/MCY/15848709 </v>
      </c>
    </row>
    <row r="138" spans="1:12" ht="24.75" x14ac:dyDescent="0.25">
      <c r="A138" s="6" t="s">
        <v>3624</v>
      </c>
      <c r="B138" s="3" t="s">
        <v>3625</v>
      </c>
      <c r="C138" s="4">
        <v>2</v>
      </c>
      <c r="D138" s="5">
        <v>107.98</v>
      </c>
      <c r="E138" s="4">
        <v>1123398</v>
      </c>
      <c r="F138" s="3" t="s">
        <v>5793</v>
      </c>
      <c r="G138" s="7" t="s">
        <v>5760</v>
      </c>
      <c r="H138" s="3" t="s">
        <v>5722</v>
      </c>
      <c r="I138" s="3" t="s">
        <v>4758</v>
      </c>
      <c r="J138" s="3" t="s">
        <v>5536</v>
      </c>
      <c r="K138" s="3" t="s">
        <v>5594</v>
      </c>
      <c r="L138" s="8" t="str">
        <f>HYPERLINK("http://slimages.macys.com/is/image/MCY/11666337 ")</f>
        <v xml:space="preserve">http://slimages.macys.com/is/image/MCY/11666337 </v>
      </c>
    </row>
    <row r="139" spans="1:12" ht="24.75" x14ac:dyDescent="0.25">
      <c r="A139" s="6" t="s">
        <v>3626</v>
      </c>
      <c r="B139" s="3" t="s">
        <v>3625</v>
      </c>
      <c r="C139" s="4">
        <v>1</v>
      </c>
      <c r="D139" s="5">
        <v>53.99</v>
      </c>
      <c r="E139" s="4">
        <v>1123398</v>
      </c>
      <c r="F139" s="3" t="s">
        <v>5793</v>
      </c>
      <c r="G139" s="7"/>
      <c r="H139" s="3" t="s">
        <v>5722</v>
      </c>
      <c r="I139" s="3" t="s">
        <v>4758</v>
      </c>
      <c r="J139" s="3" t="s">
        <v>5536</v>
      </c>
      <c r="K139" s="3" t="s">
        <v>5594</v>
      </c>
      <c r="L139" s="8" t="str">
        <f>HYPERLINK("http://slimages.macys.com/is/image/MCY/11666337 ")</f>
        <v xml:space="preserve">http://slimages.macys.com/is/image/MCY/11666337 </v>
      </c>
    </row>
    <row r="140" spans="1:12" ht="24.75" x14ac:dyDescent="0.25">
      <c r="A140" s="6" t="s">
        <v>3627</v>
      </c>
      <c r="B140" s="3" t="s">
        <v>3621</v>
      </c>
      <c r="C140" s="4">
        <v>1</v>
      </c>
      <c r="D140" s="5">
        <v>53.99</v>
      </c>
      <c r="E140" s="4">
        <v>1123461</v>
      </c>
      <c r="F140" s="3" t="s">
        <v>6335</v>
      </c>
      <c r="G140" s="7" t="s">
        <v>6025</v>
      </c>
      <c r="H140" s="3" t="s">
        <v>5722</v>
      </c>
      <c r="I140" s="3" t="s">
        <v>4758</v>
      </c>
      <c r="J140" s="3" t="s">
        <v>5536</v>
      </c>
      <c r="K140" s="3" t="s">
        <v>5594</v>
      </c>
      <c r="L140" s="8" t="str">
        <f>HYPERLINK("http://slimages.macys.com/is/image/MCY/12701717 ")</f>
        <v xml:space="preserve">http://slimages.macys.com/is/image/MCY/12701717 </v>
      </c>
    </row>
    <row r="141" spans="1:12" ht="24.75" x14ac:dyDescent="0.25">
      <c r="A141" s="6" t="s">
        <v>3628</v>
      </c>
      <c r="B141" s="3" t="s">
        <v>3629</v>
      </c>
      <c r="C141" s="4">
        <v>1</v>
      </c>
      <c r="D141" s="5">
        <v>40</v>
      </c>
      <c r="E141" s="4">
        <v>1101171</v>
      </c>
      <c r="F141" s="3" t="s">
        <v>5803</v>
      </c>
      <c r="G141" s="7" t="s">
        <v>5533</v>
      </c>
      <c r="H141" s="3" t="s">
        <v>5929</v>
      </c>
      <c r="I141" s="3" t="s">
        <v>5930</v>
      </c>
      <c r="J141" s="3" t="s">
        <v>5536</v>
      </c>
      <c r="K141" s="3" t="s">
        <v>5727</v>
      </c>
      <c r="L141" s="8" t="str">
        <f>HYPERLINK("http://slimages.macys.com/is/image/MCY/11487394 ")</f>
        <v xml:space="preserve">http://slimages.macys.com/is/image/MCY/11487394 </v>
      </c>
    </row>
    <row r="142" spans="1:12" ht="24.75" x14ac:dyDescent="0.25">
      <c r="A142" s="6" t="s">
        <v>3630</v>
      </c>
      <c r="B142" s="3" t="s">
        <v>3631</v>
      </c>
      <c r="C142" s="4">
        <v>1</v>
      </c>
      <c r="D142" s="5">
        <v>32.99</v>
      </c>
      <c r="E142" s="4">
        <v>355502111</v>
      </c>
      <c r="F142" s="3" t="s">
        <v>6983</v>
      </c>
      <c r="G142" s="7" t="s">
        <v>6500</v>
      </c>
      <c r="H142" s="3" t="s">
        <v>5606</v>
      </c>
      <c r="I142" s="3" t="s">
        <v>5607</v>
      </c>
      <c r="J142" s="3" t="s">
        <v>5536</v>
      </c>
      <c r="K142" s="3" t="s">
        <v>5553</v>
      </c>
      <c r="L142" s="8" t="str">
        <f>HYPERLINK("http://slimages.macys.com/is/image/MCY/1021999 ")</f>
        <v xml:space="preserve">http://slimages.macys.com/is/image/MCY/1021999 </v>
      </c>
    </row>
    <row r="143" spans="1:12" ht="24.75" x14ac:dyDescent="0.25">
      <c r="A143" s="6" t="s">
        <v>3632</v>
      </c>
      <c r="B143" s="3" t="s">
        <v>3633</v>
      </c>
      <c r="C143" s="4">
        <v>1</v>
      </c>
      <c r="D143" s="5">
        <v>49.99</v>
      </c>
      <c r="E143" s="4">
        <v>557970003</v>
      </c>
      <c r="F143" s="3" t="s">
        <v>5640</v>
      </c>
      <c r="G143" s="7" t="s">
        <v>3487</v>
      </c>
      <c r="H143" s="3" t="s">
        <v>5807</v>
      </c>
      <c r="I143" s="3" t="s">
        <v>5808</v>
      </c>
      <c r="J143" s="3" t="s">
        <v>5536</v>
      </c>
      <c r="K143" s="3" t="s">
        <v>5558</v>
      </c>
      <c r="L143" s="8" t="str">
        <f>HYPERLINK("http://slimages.macys.com/is/image/MCY/9560574 ")</f>
        <v xml:space="preserve">http://slimages.macys.com/is/image/MCY/9560574 </v>
      </c>
    </row>
    <row r="144" spans="1:12" ht="24.75" x14ac:dyDescent="0.25">
      <c r="A144" s="6" t="s">
        <v>3634</v>
      </c>
      <c r="B144" s="3" t="s">
        <v>3635</v>
      </c>
      <c r="C144" s="4">
        <v>1</v>
      </c>
      <c r="D144" s="5">
        <v>49.99</v>
      </c>
      <c r="E144" s="4">
        <v>557970000</v>
      </c>
      <c r="F144" s="3" t="s">
        <v>5556</v>
      </c>
      <c r="G144" s="7" t="s">
        <v>3636</v>
      </c>
      <c r="H144" s="3" t="s">
        <v>5807</v>
      </c>
      <c r="I144" s="3" t="s">
        <v>5808</v>
      </c>
      <c r="J144" s="3" t="s">
        <v>5536</v>
      </c>
      <c r="K144" s="3" t="s">
        <v>5558</v>
      </c>
      <c r="L144" s="8" t="str">
        <f>HYPERLINK("http://slimages.macys.com/is/image/MCY/9560574 ")</f>
        <v xml:space="preserve">http://slimages.macys.com/is/image/MCY/9560574 </v>
      </c>
    </row>
    <row r="145" spans="1:12" ht="24.75" x14ac:dyDescent="0.25">
      <c r="A145" s="6" t="s">
        <v>3637</v>
      </c>
      <c r="B145" s="3" t="s">
        <v>3638</v>
      </c>
      <c r="C145" s="4">
        <v>1</v>
      </c>
      <c r="D145" s="5">
        <v>49.99</v>
      </c>
      <c r="E145" s="4">
        <v>557970002</v>
      </c>
      <c r="F145" s="3" t="s">
        <v>5532</v>
      </c>
      <c r="G145" s="7" t="s">
        <v>3636</v>
      </c>
      <c r="H145" s="3" t="s">
        <v>5807</v>
      </c>
      <c r="I145" s="3" t="s">
        <v>5808</v>
      </c>
      <c r="J145" s="3" t="s">
        <v>5536</v>
      </c>
      <c r="K145" s="3" t="s">
        <v>5558</v>
      </c>
      <c r="L145" s="8" t="str">
        <f>HYPERLINK("http://slimages.macys.com/is/image/MCY/9560574 ")</f>
        <v xml:space="preserve">http://slimages.macys.com/is/image/MCY/9560574 </v>
      </c>
    </row>
    <row r="146" spans="1:12" ht="24.75" x14ac:dyDescent="0.25">
      <c r="A146" s="6" t="s">
        <v>3639</v>
      </c>
      <c r="B146" s="3" t="s">
        <v>4798</v>
      </c>
      <c r="C146" s="4">
        <v>1</v>
      </c>
      <c r="D146" s="5">
        <v>44</v>
      </c>
      <c r="E146" s="4" t="s">
        <v>3640</v>
      </c>
      <c r="F146" s="3" t="s">
        <v>5625</v>
      </c>
      <c r="G146" s="7" t="s">
        <v>5755</v>
      </c>
      <c r="H146" s="3" t="s">
        <v>5722</v>
      </c>
      <c r="I146" s="3" t="s">
        <v>5756</v>
      </c>
      <c r="J146" s="3" t="s">
        <v>5536</v>
      </c>
      <c r="K146" s="3" t="s">
        <v>5641</v>
      </c>
      <c r="L146" s="8" t="str">
        <f>HYPERLINK("http://slimages.macys.com/is/image/MCY/15145676 ")</f>
        <v xml:space="preserve">http://slimages.macys.com/is/image/MCY/15145676 </v>
      </c>
    </row>
    <row r="147" spans="1:12" ht="24.75" x14ac:dyDescent="0.25">
      <c r="A147" s="6" t="s">
        <v>3641</v>
      </c>
      <c r="B147" s="3" t="s">
        <v>3642</v>
      </c>
      <c r="C147" s="4">
        <v>1</v>
      </c>
      <c r="D147" s="5">
        <v>48.75</v>
      </c>
      <c r="E147" s="4" t="s">
        <v>3643</v>
      </c>
      <c r="F147" s="3" t="s">
        <v>4547</v>
      </c>
      <c r="G147" s="7"/>
      <c r="H147" s="3" t="s">
        <v>5842</v>
      </c>
      <c r="I147" s="3" t="s">
        <v>3644</v>
      </c>
      <c r="J147" s="3" t="s">
        <v>5536</v>
      </c>
      <c r="K147" s="3" t="s">
        <v>3645</v>
      </c>
      <c r="L147" s="8" t="str">
        <f>HYPERLINK("http://slimages.macys.com/is/image/MCY/11865714 ")</f>
        <v xml:space="preserve">http://slimages.macys.com/is/image/MCY/11865714 </v>
      </c>
    </row>
    <row r="148" spans="1:12" ht="24.75" x14ac:dyDescent="0.25">
      <c r="A148" s="6" t="s">
        <v>3646</v>
      </c>
      <c r="B148" s="3" t="s">
        <v>3647</v>
      </c>
      <c r="C148" s="4">
        <v>1</v>
      </c>
      <c r="D148" s="5">
        <v>42.5</v>
      </c>
      <c r="E148" s="4" t="s">
        <v>3648</v>
      </c>
      <c r="F148" s="3" t="s">
        <v>6146</v>
      </c>
      <c r="G148" s="7" t="s">
        <v>5850</v>
      </c>
      <c r="H148" s="3" t="s">
        <v>3649</v>
      </c>
      <c r="I148" s="3" t="s">
        <v>3650</v>
      </c>
      <c r="J148" s="3" t="s">
        <v>5536</v>
      </c>
      <c r="K148" s="3" t="s">
        <v>3651</v>
      </c>
      <c r="L148" s="8" t="str">
        <f>HYPERLINK("http://slimages.macys.com/is/image/MCY/9162294 ")</f>
        <v xml:space="preserve">http://slimages.macys.com/is/image/MCY/9162294 </v>
      </c>
    </row>
    <row r="149" spans="1:12" ht="24.75" x14ac:dyDescent="0.25">
      <c r="A149" s="6" t="s">
        <v>3652</v>
      </c>
      <c r="B149" s="3" t="s">
        <v>3653</v>
      </c>
      <c r="C149" s="4">
        <v>1</v>
      </c>
      <c r="D149" s="5">
        <v>44.99</v>
      </c>
      <c r="E149" s="4">
        <v>476910007</v>
      </c>
      <c r="F149" s="3" t="s">
        <v>5820</v>
      </c>
      <c r="G149" s="7" t="s">
        <v>5658</v>
      </c>
      <c r="H149" s="3" t="s">
        <v>5807</v>
      </c>
      <c r="I149" s="3" t="s">
        <v>5808</v>
      </c>
      <c r="J149" s="3" t="s">
        <v>5536</v>
      </c>
      <c r="K149" s="3" t="s">
        <v>5558</v>
      </c>
      <c r="L149" s="8" t="str">
        <f>HYPERLINK("http://slimages.macys.com/is/image/MCY/9417641 ")</f>
        <v xml:space="preserve">http://slimages.macys.com/is/image/MCY/9417641 </v>
      </c>
    </row>
    <row r="150" spans="1:12" ht="24.75" x14ac:dyDescent="0.25">
      <c r="A150" s="6" t="s">
        <v>3654</v>
      </c>
      <c r="B150" s="3" t="s">
        <v>3655</v>
      </c>
      <c r="C150" s="4">
        <v>1</v>
      </c>
      <c r="D150" s="5">
        <v>44.99</v>
      </c>
      <c r="E150" s="4">
        <v>399830007</v>
      </c>
      <c r="F150" s="3" t="s">
        <v>4547</v>
      </c>
      <c r="G150" s="7"/>
      <c r="H150" s="3" t="s">
        <v>5807</v>
      </c>
      <c r="I150" s="3" t="s">
        <v>5808</v>
      </c>
      <c r="J150" s="3" t="s">
        <v>5536</v>
      </c>
      <c r="K150" s="3" t="s">
        <v>5558</v>
      </c>
      <c r="L150" s="8" t="str">
        <f>HYPERLINK("http://slimages.macys.com/is/image/MCY/9417622 ")</f>
        <v xml:space="preserve">http://slimages.macys.com/is/image/MCY/9417622 </v>
      </c>
    </row>
    <row r="151" spans="1:12" x14ac:dyDescent="0.25">
      <c r="A151" s="6" t="s">
        <v>3656</v>
      </c>
      <c r="B151" s="3" t="s">
        <v>3657</v>
      </c>
      <c r="C151" s="4">
        <v>1</v>
      </c>
      <c r="D151" s="5">
        <v>34.99</v>
      </c>
      <c r="E151" s="4" t="s">
        <v>3658</v>
      </c>
      <c r="F151" s="3" t="s">
        <v>5604</v>
      </c>
      <c r="G151" s="7" t="s">
        <v>5533</v>
      </c>
      <c r="H151" s="3" t="s">
        <v>5606</v>
      </c>
      <c r="I151" s="3" t="s">
        <v>5914</v>
      </c>
      <c r="J151" s="3" t="s">
        <v>5536</v>
      </c>
      <c r="K151" s="3" t="s">
        <v>5594</v>
      </c>
      <c r="L151" s="8" t="str">
        <f>HYPERLINK("http://slimages.macys.com/is/image/MCY/15626213 ")</f>
        <v xml:space="preserve">http://slimages.macys.com/is/image/MCY/15626213 </v>
      </c>
    </row>
    <row r="152" spans="1:12" x14ac:dyDescent="0.25">
      <c r="A152" s="6" t="s">
        <v>3659</v>
      </c>
      <c r="B152" s="3" t="s">
        <v>3660</v>
      </c>
      <c r="C152" s="4">
        <v>1</v>
      </c>
      <c r="D152" s="5">
        <v>48.11</v>
      </c>
      <c r="E152" s="4">
        <v>5010194</v>
      </c>
      <c r="F152" s="3" t="s">
        <v>5578</v>
      </c>
      <c r="G152" s="7" t="s">
        <v>5658</v>
      </c>
      <c r="H152" s="3" t="s">
        <v>5606</v>
      </c>
      <c r="I152" s="3" t="s">
        <v>5607</v>
      </c>
      <c r="J152" s="3" t="s">
        <v>5536</v>
      </c>
      <c r="K152" s="3" t="s">
        <v>5558</v>
      </c>
      <c r="L152" s="8" t="str">
        <f>HYPERLINK("http://slimages.macys.com/is/image/MCY/1515588 ")</f>
        <v xml:space="preserve">http://slimages.macys.com/is/image/MCY/1515588 </v>
      </c>
    </row>
    <row r="153" spans="1:12" ht="24.75" x14ac:dyDescent="0.25">
      <c r="A153" s="6" t="s">
        <v>3661</v>
      </c>
      <c r="B153" s="3" t="s">
        <v>2155</v>
      </c>
      <c r="C153" s="4">
        <v>1</v>
      </c>
      <c r="D153" s="5">
        <v>79.5</v>
      </c>
      <c r="E153" s="4">
        <v>60650548</v>
      </c>
      <c r="F153" s="3" t="s">
        <v>5540</v>
      </c>
      <c r="G153" s="7" t="s">
        <v>5311</v>
      </c>
      <c r="H153" s="3" t="s">
        <v>5955</v>
      </c>
      <c r="I153" s="3" t="s">
        <v>5734</v>
      </c>
      <c r="J153" s="3" t="s">
        <v>5536</v>
      </c>
      <c r="K153" s="3" t="s">
        <v>5594</v>
      </c>
      <c r="L153" s="8" t="str">
        <f>HYPERLINK("http://slimages.macys.com/is/image/MCY/2946561 ")</f>
        <v xml:space="preserve">http://slimages.macys.com/is/image/MCY/2946561 </v>
      </c>
    </row>
    <row r="154" spans="1:12" ht="24.75" x14ac:dyDescent="0.25">
      <c r="A154" s="6" t="s">
        <v>3662</v>
      </c>
      <c r="B154" s="3" t="s">
        <v>2155</v>
      </c>
      <c r="C154" s="4">
        <v>1</v>
      </c>
      <c r="D154" s="5">
        <v>79.5</v>
      </c>
      <c r="E154" s="4">
        <v>60650548</v>
      </c>
      <c r="F154" s="3" t="s">
        <v>5540</v>
      </c>
      <c r="G154" s="7" t="s">
        <v>5682</v>
      </c>
      <c r="H154" s="3" t="s">
        <v>5955</v>
      </c>
      <c r="I154" s="3" t="s">
        <v>5734</v>
      </c>
      <c r="J154" s="3" t="s">
        <v>5536</v>
      </c>
      <c r="K154" s="3" t="s">
        <v>5594</v>
      </c>
      <c r="L154" s="8" t="str">
        <f>HYPERLINK("http://slimages.macys.com/is/image/MCY/2946561 ")</f>
        <v xml:space="preserve">http://slimages.macys.com/is/image/MCY/2946561 </v>
      </c>
    </row>
    <row r="155" spans="1:12" ht="24.75" x14ac:dyDescent="0.25">
      <c r="A155" s="6" t="s">
        <v>3663</v>
      </c>
      <c r="B155" s="3" t="s">
        <v>2155</v>
      </c>
      <c r="C155" s="4">
        <v>2</v>
      </c>
      <c r="D155" s="5">
        <v>159</v>
      </c>
      <c r="E155" s="4">
        <v>60650548</v>
      </c>
      <c r="F155" s="3" t="s">
        <v>5540</v>
      </c>
      <c r="G155" s="7"/>
      <c r="H155" s="3" t="s">
        <v>5955</v>
      </c>
      <c r="I155" s="3" t="s">
        <v>5734</v>
      </c>
      <c r="J155" s="3" t="s">
        <v>5536</v>
      </c>
      <c r="K155" s="3" t="s">
        <v>5594</v>
      </c>
      <c r="L155" s="8" t="str">
        <f>HYPERLINK("http://slimages.macys.com/is/image/MCY/2946561 ")</f>
        <v xml:space="preserve">http://slimages.macys.com/is/image/MCY/2946561 </v>
      </c>
    </row>
    <row r="156" spans="1:12" ht="24.75" x14ac:dyDescent="0.25">
      <c r="A156" s="6" t="s">
        <v>3664</v>
      </c>
      <c r="B156" s="3" t="s">
        <v>2155</v>
      </c>
      <c r="C156" s="4">
        <v>1</v>
      </c>
      <c r="D156" s="5">
        <v>79.5</v>
      </c>
      <c r="E156" s="4">
        <v>60650548</v>
      </c>
      <c r="F156" s="3" t="s">
        <v>5540</v>
      </c>
      <c r="G156" s="7" t="s">
        <v>2969</v>
      </c>
      <c r="H156" s="3" t="s">
        <v>5955</v>
      </c>
      <c r="I156" s="3" t="s">
        <v>5734</v>
      </c>
      <c r="J156" s="3" t="s">
        <v>5536</v>
      </c>
      <c r="K156" s="3" t="s">
        <v>5594</v>
      </c>
      <c r="L156" s="8" t="str">
        <f>HYPERLINK("http://slimages.macys.com/is/image/MCY/2946561 ")</f>
        <v xml:space="preserve">http://slimages.macys.com/is/image/MCY/2946561 </v>
      </c>
    </row>
    <row r="157" spans="1:12" ht="24.75" x14ac:dyDescent="0.25">
      <c r="A157" s="6" t="s">
        <v>3665</v>
      </c>
      <c r="B157" s="3" t="s">
        <v>2155</v>
      </c>
      <c r="C157" s="4">
        <v>1</v>
      </c>
      <c r="D157" s="5">
        <v>79.5</v>
      </c>
      <c r="E157" s="4">
        <v>60650548</v>
      </c>
      <c r="F157" s="3" t="s">
        <v>5540</v>
      </c>
      <c r="G157" s="7" t="s">
        <v>5685</v>
      </c>
      <c r="H157" s="3" t="s">
        <v>5955</v>
      </c>
      <c r="I157" s="3" t="s">
        <v>5734</v>
      </c>
      <c r="J157" s="3" t="s">
        <v>5536</v>
      </c>
      <c r="K157" s="3" t="s">
        <v>5594</v>
      </c>
      <c r="L157" s="8" t="str">
        <f>HYPERLINK("http://slimages.macys.com/is/image/MCY/2946561 ")</f>
        <v xml:space="preserve">http://slimages.macys.com/is/image/MCY/2946561 </v>
      </c>
    </row>
    <row r="158" spans="1:12" ht="24.75" x14ac:dyDescent="0.25">
      <c r="A158" s="6" t="s">
        <v>3666</v>
      </c>
      <c r="B158" s="3" t="s">
        <v>3667</v>
      </c>
      <c r="C158" s="4">
        <v>1</v>
      </c>
      <c r="D158" s="5">
        <v>45</v>
      </c>
      <c r="E158" s="4" t="s">
        <v>3668</v>
      </c>
      <c r="F158" s="3" t="s">
        <v>5803</v>
      </c>
      <c r="G158" s="7" t="s">
        <v>5861</v>
      </c>
      <c r="H158" s="3" t="s">
        <v>5862</v>
      </c>
      <c r="I158" s="3" t="s">
        <v>5934</v>
      </c>
      <c r="J158" s="3" t="s">
        <v>5536</v>
      </c>
      <c r="K158" s="3" t="s">
        <v>3669</v>
      </c>
      <c r="L158" s="8" t="str">
        <f>HYPERLINK("http://slimages.macys.com/is/image/MCY/14561725 ")</f>
        <v xml:space="preserve">http://slimages.macys.com/is/image/MCY/14561725 </v>
      </c>
    </row>
    <row r="159" spans="1:12" ht="24.75" x14ac:dyDescent="0.25">
      <c r="A159" s="6" t="s">
        <v>3670</v>
      </c>
      <c r="B159" s="3" t="s">
        <v>3667</v>
      </c>
      <c r="C159" s="4">
        <v>1</v>
      </c>
      <c r="D159" s="5">
        <v>45</v>
      </c>
      <c r="E159" s="4" t="s">
        <v>3668</v>
      </c>
      <c r="F159" s="3" t="s">
        <v>5803</v>
      </c>
      <c r="G159" s="7" t="s">
        <v>5685</v>
      </c>
      <c r="H159" s="3" t="s">
        <v>5862</v>
      </c>
      <c r="I159" s="3" t="s">
        <v>5934</v>
      </c>
      <c r="J159" s="3" t="s">
        <v>5536</v>
      </c>
      <c r="K159" s="3" t="s">
        <v>3669</v>
      </c>
      <c r="L159" s="8" t="str">
        <f>HYPERLINK("http://slimages.macys.com/is/image/MCY/14561725 ")</f>
        <v xml:space="preserve">http://slimages.macys.com/is/image/MCY/14561725 </v>
      </c>
    </row>
    <row r="160" spans="1:12" ht="24.75" x14ac:dyDescent="0.25">
      <c r="A160" s="6" t="s">
        <v>3671</v>
      </c>
      <c r="B160" s="3" t="s">
        <v>3672</v>
      </c>
      <c r="C160" s="4">
        <v>1</v>
      </c>
      <c r="D160" s="5">
        <v>45</v>
      </c>
      <c r="E160" s="4" t="s">
        <v>3673</v>
      </c>
      <c r="F160" s="3" t="s">
        <v>5532</v>
      </c>
      <c r="G160" s="7" t="s">
        <v>5685</v>
      </c>
      <c r="H160" s="3" t="s">
        <v>5862</v>
      </c>
      <c r="I160" s="3" t="s">
        <v>5934</v>
      </c>
      <c r="J160" s="3" t="s">
        <v>5536</v>
      </c>
      <c r="K160" s="3" t="s">
        <v>5935</v>
      </c>
      <c r="L160" s="8" t="str">
        <f>HYPERLINK("http://slimages.macys.com/is/image/MCY/14577883 ")</f>
        <v xml:space="preserve">http://slimages.macys.com/is/image/MCY/14577883 </v>
      </c>
    </row>
    <row r="161" spans="1:12" ht="24.75" x14ac:dyDescent="0.25">
      <c r="A161" s="6" t="s">
        <v>3674</v>
      </c>
      <c r="B161" s="3" t="s">
        <v>3675</v>
      </c>
      <c r="C161" s="4">
        <v>1</v>
      </c>
      <c r="D161" s="5">
        <v>35</v>
      </c>
      <c r="E161" s="4" t="s">
        <v>3676</v>
      </c>
      <c r="F161" s="3" t="s">
        <v>5540</v>
      </c>
      <c r="G161" s="7" t="s">
        <v>5560</v>
      </c>
      <c r="H161" s="3" t="s">
        <v>3418</v>
      </c>
      <c r="I161" s="3" t="s">
        <v>3419</v>
      </c>
      <c r="J161" s="3" t="s">
        <v>5536</v>
      </c>
      <c r="K161" s="3" t="s">
        <v>5594</v>
      </c>
      <c r="L161" s="8" t="str">
        <f>HYPERLINK("http://slimages.macys.com/is/image/MCY/14022837 ")</f>
        <v xml:space="preserve">http://slimages.macys.com/is/image/MCY/14022837 </v>
      </c>
    </row>
    <row r="162" spans="1:12" ht="24.75" x14ac:dyDescent="0.25">
      <c r="A162" s="6" t="s">
        <v>3677</v>
      </c>
      <c r="B162" s="3" t="s">
        <v>3678</v>
      </c>
      <c r="C162" s="4">
        <v>1</v>
      </c>
      <c r="D162" s="5">
        <v>40</v>
      </c>
      <c r="E162" s="4" t="s">
        <v>3679</v>
      </c>
      <c r="F162" s="3" t="s">
        <v>5811</v>
      </c>
      <c r="G162" s="7" t="s">
        <v>5596</v>
      </c>
      <c r="H162" s="3" t="s">
        <v>4819</v>
      </c>
      <c r="I162" s="3" t="s">
        <v>4820</v>
      </c>
      <c r="J162" s="3" t="s">
        <v>5536</v>
      </c>
      <c r="K162" s="3" t="s">
        <v>5727</v>
      </c>
      <c r="L162" s="8" t="str">
        <f>HYPERLINK("http://slimages.macys.com/is/image/MCY/12245194 ")</f>
        <v xml:space="preserve">http://slimages.macys.com/is/image/MCY/12245194 </v>
      </c>
    </row>
    <row r="163" spans="1:12" ht="24.75" x14ac:dyDescent="0.25">
      <c r="A163" s="6" t="s">
        <v>3680</v>
      </c>
      <c r="B163" s="3" t="s">
        <v>3681</v>
      </c>
      <c r="C163" s="4">
        <v>1</v>
      </c>
      <c r="D163" s="5">
        <v>45</v>
      </c>
      <c r="E163" s="4" t="s">
        <v>3682</v>
      </c>
      <c r="F163" s="3" t="s">
        <v>6275</v>
      </c>
      <c r="G163" s="7" t="s">
        <v>5582</v>
      </c>
      <c r="H163" s="3" t="s">
        <v>3941</v>
      </c>
      <c r="I163" s="3" t="s">
        <v>3942</v>
      </c>
      <c r="J163" s="3" t="s">
        <v>5536</v>
      </c>
      <c r="K163" s="3" t="s">
        <v>3683</v>
      </c>
      <c r="L163" s="8" t="str">
        <f>HYPERLINK("http://slimages.macys.com/is/image/MCY/16344736 ")</f>
        <v xml:space="preserve">http://slimages.macys.com/is/image/MCY/16344736 </v>
      </c>
    </row>
    <row r="164" spans="1:12" ht="24.75" x14ac:dyDescent="0.25">
      <c r="A164" s="6" t="s">
        <v>3684</v>
      </c>
      <c r="B164" s="3" t="s">
        <v>3685</v>
      </c>
      <c r="C164" s="4">
        <v>1</v>
      </c>
      <c r="D164" s="5">
        <v>37.99</v>
      </c>
      <c r="E164" s="4" t="s">
        <v>3686</v>
      </c>
      <c r="F164" s="3"/>
      <c r="G164" s="7" t="s">
        <v>6252</v>
      </c>
      <c r="H164" s="3" t="s">
        <v>5899</v>
      </c>
      <c r="I164" s="3" t="s">
        <v>3687</v>
      </c>
      <c r="J164" s="3" t="s">
        <v>5536</v>
      </c>
      <c r="K164" s="3" t="s">
        <v>3688</v>
      </c>
      <c r="L164" s="8" t="str">
        <f>HYPERLINK("http://slimages.macys.com/is/image/MCY/12545454 ")</f>
        <v xml:space="preserve">http://slimages.macys.com/is/image/MCY/12545454 </v>
      </c>
    </row>
    <row r="165" spans="1:12" ht="24.75" x14ac:dyDescent="0.25">
      <c r="A165" s="6" t="s">
        <v>3689</v>
      </c>
      <c r="B165" s="3" t="s">
        <v>3690</v>
      </c>
      <c r="C165" s="4">
        <v>1</v>
      </c>
      <c r="D165" s="5">
        <v>37.99</v>
      </c>
      <c r="E165" s="4" t="s">
        <v>3691</v>
      </c>
      <c r="F165" s="3"/>
      <c r="G165" s="7"/>
      <c r="H165" s="3" t="s">
        <v>5899</v>
      </c>
      <c r="I165" s="3" t="s">
        <v>3687</v>
      </c>
      <c r="J165" s="3" t="s">
        <v>5536</v>
      </c>
      <c r="K165" s="3" t="s">
        <v>4135</v>
      </c>
      <c r="L165" s="8" t="str">
        <f>HYPERLINK("http://slimages.macys.com/is/image/MCY/8628307 ")</f>
        <v xml:space="preserve">http://slimages.macys.com/is/image/MCY/8628307 </v>
      </c>
    </row>
    <row r="166" spans="1:12" ht="24.75" x14ac:dyDescent="0.25">
      <c r="A166" s="6" t="s">
        <v>3692</v>
      </c>
      <c r="B166" s="3" t="s">
        <v>3693</v>
      </c>
      <c r="C166" s="4">
        <v>1</v>
      </c>
      <c r="D166" s="5">
        <v>37.99</v>
      </c>
      <c r="E166" s="4" t="s">
        <v>3694</v>
      </c>
      <c r="F166" s="3"/>
      <c r="G166" s="7" t="s">
        <v>6252</v>
      </c>
      <c r="H166" s="3" t="s">
        <v>5899</v>
      </c>
      <c r="I166" s="3" t="s">
        <v>3687</v>
      </c>
      <c r="J166" s="3" t="s">
        <v>5536</v>
      </c>
      <c r="K166" s="3" t="s">
        <v>4135</v>
      </c>
      <c r="L166" s="8" t="str">
        <f>HYPERLINK("http://slimages.macys.com/is/image/MCY/8628307 ")</f>
        <v xml:space="preserve">http://slimages.macys.com/is/image/MCY/8628307 </v>
      </c>
    </row>
    <row r="167" spans="1:12" x14ac:dyDescent="0.25">
      <c r="A167" s="6" t="s">
        <v>3695</v>
      </c>
      <c r="B167" s="3" t="s">
        <v>3949</v>
      </c>
      <c r="C167" s="4">
        <v>1</v>
      </c>
      <c r="D167" s="5">
        <v>42.99</v>
      </c>
      <c r="E167" s="4" t="s">
        <v>3950</v>
      </c>
      <c r="F167" s="3" t="s">
        <v>5578</v>
      </c>
      <c r="G167" s="7" t="s">
        <v>5598</v>
      </c>
      <c r="H167" s="3" t="s">
        <v>6003</v>
      </c>
      <c r="I167" s="3" t="s">
        <v>6004</v>
      </c>
      <c r="J167" s="3" t="s">
        <v>5536</v>
      </c>
      <c r="K167" s="3" t="s">
        <v>6071</v>
      </c>
      <c r="L167" s="8" t="str">
        <f>HYPERLINK("http://slimages.macys.com/is/image/MCY/8759351 ")</f>
        <v xml:space="preserve">http://slimages.macys.com/is/image/MCY/8759351 </v>
      </c>
    </row>
    <row r="168" spans="1:12" ht="24.75" x14ac:dyDescent="0.25">
      <c r="A168" s="6" t="s">
        <v>3696</v>
      </c>
      <c r="B168" s="3" t="s">
        <v>3697</v>
      </c>
      <c r="C168" s="4">
        <v>1</v>
      </c>
      <c r="D168" s="5">
        <v>37.99</v>
      </c>
      <c r="E168" s="4" t="s">
        <v>3698</v>
      </c>
      <c r="F168" s="3" t="s">
        <v>5540</v>
      </c>
      <c r="G168" s="7" t="s">
        <v>5898</v>
      </c>
      <c r="H168" s="3" t="s">
        <v>5842</v>
      </c>
      <c r="I168" s="3" t="s">
        <v>3699</v>
      </c>
      <c r="J168" s="3" t="s">
        <v>5536</v>
      </c>
      <c r="K168" s="3" t="s">
        <v>5984</v>
      </c>
      <c r="L168" s="8" t="str">
        <f>HYPERLINK("http://slimages.macys.com/is/image/MCY/9051757 ")</f>
        <v xml:space="preserve">http://slimages.macys.com/is/image/MCY/9051757 </v>
      </c>
    </row>
    <row r="169" spans="1:12" x14ac:dyDescent="0.25">
      <c r="A169" s="6" t="s">
        <v>3700</v>
      </c>
      <c r="B169" s="3" t="s">
        <v>2233</v>
      </c>
      <c r="C169" s="4">
        <v>1</v>
      </c>
      <c r="D169" s="5">
        <v>29.99</v>
      </c>
      <c r="E169" s="4">
        <v>729900012</v>
      </c>
      <c r="F169" s="3" t="s">
        <v>5540</v>
      </c>
      <c r="G169" s="7" t="s">
        <v>6626</v>
      </c>
      <c r="H169" s="3" t="s">
        <v>5807</v>
      </c>
      <c r="I169" s="3" t="s">
        <v>2234</v>
      </c>
      <c r="J169" s="3" t="s">
        <v>5536</v>
      </c>
      <c r="K169" s="3" t="s">
        <v>5558</v>
      </c>
      <c r="L169" s="8" t="str">
        <f>HYPERLINK("http://slimages.macys.com/is/image/MCY/11382329 ")</f>
        <v xml:space="preserve">http://slimages.macys.com/is/image/MCY/11382329 </v>
      </c>
    </row>
    <row r="170" spans="1:12" ht="24.75" x14ac:dyDescent="0.25">
      <c r="A170" s="6" t="s">
        <v>3701</v>
      </c>
      <c r="B170" s="3" t="s">
        <v>3702</v>
      </c>
      <c r="C170" s="4">
        <v>1</v>
      </c>
      <c r="D170" s="5">
        <v>39.5</v>
      </c>
      <c r="E170" s="4" t="s">
        <v>3703</v>
      </c>
      <c r="F170" s="3" t="s">
        <v>5783</v>
      </c>
      <c r="G170" s="7" t="s">
        <v>5596</v>
      </c>
      <c r="H170" s="3" t="s">
        <v>5617</v>
      </c>
      <c r="I170" s="3" t="s">
        <v>5618</v>
      </c>
      <c r="J170" s="3" t="s">
        <v>5536</v>
      </c>
      <c r="K170" s="3" t="s">
        <v>5594</v>
      </c>
      <c r="L170" s="8" t="str">
        <f>HYPERLINK("http://slimages.macys.com/is/image/MCY/15734905 ")</f>
        <v xml:space="preserve">http://slimages.macys.com/is/image/MCY/15734905 </v>
      </c>
    </row>
    <row r="171" spans="1:12" ht="24.75" x14ac:dyDescent="0.25">
      <c r="A171" s="6" t="s">
        <v>3704</v>
      </c>
      <c r="B171" s="3" t="s">
        <v>3705</v>
      </c>
      <c r="C171" s="4">
        <v>1</v>
      </c>
      <c r="D171" s="5">
        <v>29.99</v>
      </c>
      <c r="E171" s="4" t="s">
        <v>3706</v>
      </c>
      <c r="F171" s="3" t="s">
        <v>5783</v>
      </c>
      <c r="G171" s="7" t="s">
        <v>5579</v>
      </c>
      <c r="H171" s="3" t="s">
        <v>5862</v>
      </c>
      <c r="I171" s="3" t="s">
        <v>6204</v>
      </c>
      <c r="J171" s="3" t="s">
        <v>5536</v>
      </c>
      <c r="K171" s="3" t="s">
        <v>5727</v>
      </c>
      <c r="L171" s="8" t="str">
        <f>HYPERLINK("http://slimages.macys.com/is/image/MCY/15815851 ")</f>
        <v xml:space="preserve">http://slimages.macys.com/is/image/MCY/15815851 </v>
      </c>
    </row>
    <row r="172" spans="1:12" ht="24.75" x14ac:dyDescent="0.25">
      <c r="A172" s="6" t="s">
        <v>3707</v>
      </c>
      <c r="B172" s="3" t="s">
        <v>6111</v>
      </c>
      <c r="C172" s="4">
        <v>1</v>
      </c>
      <c r="D172" s="5">
        <v>69.5</v>
      </c>
      <c r="E172" s="4">
        <v>100029708</v>
      </c>
      <c r="F172" s="3" t="s">
        <v>5540</v>
      </c>
      <c r="G172" s="7" t="s">
        <v>5662</v>
      </c>
      <c r="H172" s="3" t="s">
        <v>5955</v>
      </c>
      <c r="I172" s="3" t="s">
        <v>5956</v>
      </c>
      <c r="J172" s="3" t="s">
        <v>5536</v>
      </c>
      <c r="K172" s="3" t="s">
        <v>6092</v>
      </c>
      <c r="L172" s="8" t="str">
        <f>HYPERLINK("http://slimages.macys.com/is/image/MCY/9916325 ")</f>
        <v xml:space="preserve">http://slimages.macys.com/is/image/MCY/9916325 </v>
      </c>
    </row>
    <row r="173" spans="1:12" ht="24.75" x14ac:dyDescent="0.25">
      <c r="A173" s="6" t="s">
        <v>3708</v>
      </c>
      <c r="B173" s="3" t="s">
        <v>3709</v>
      </c>
      <c r="C173" s="4">
        <v>1</v>
      </c>
      <c r="D173" s="5">
        <v>69.5</v>
      </c>
      <c r="E173" s="4">
        <v>100029707</v>
      </c>
      <c r="F173" s="3" t="s">
        <v>5793</v>
      </c>
      <c r="G173" s="7" t="s">
        <v>5694</v>
      </c>
      <c r="H173" s="3" t="s">
        <v>5955</v>
      </c>
      <c r="I173" s="3" t="s">
        <v>5956</v>
      </c>
      <c r="J173" s="3" t="s">
        <v>5536</v>
      </c>
      <c r="K173" s="3" t="s">
        <v>6092</v>
      </c>
      <c r="L173" s="8" t="str">
        <f>HYPERLINK("http://slimages.macys.com/is/image/MCY/9916325 ")</f>
        <v xml:space="preserve">http://slimages.macys.com/is/image/MCY/9916325 </v>
      </c>
    </row>
    <row r="174" spans="1:12" ht="24.75" x14ac:dyDescent="0.25">
      <c r="A174" s="6" t="s">
        <v>3710</v>
      </c>
      <c r="B174" s="3" t="s">
        <v>3711</v>
      </c>
      <c r="C174" s="4">
        <v>1</v>
      </c>
      <c r="D174" s="5">
        <v>42</v>
      </c>
      <c r="E174" s="4">
        <v>5041519396100</v>
      </c>
      <c r="F174" s="3"/>
      <c r="G174" s="7" t="s">
        <v>5562</v>
      </c>
      <c r="H174" s="3" t="s">
        <v>5794</v>
      </c>
      <c r="I174" s="3" t="s">
        <v>3712</v>
      </c>
      <c r="J174" s="3" t="s">
        <v>5536</v>
      </c>
      <c r="K174" s="3" t="s">
        <v>5558</v>
      </c>
      <c r="L174" s="8" t="str">
        <f>HYPERLINK("http://slimages.macys.com/is/image/MCY/14744513 ")</f>
        <v xml:space="preserve">http://slimages.macys.com/is/image/MCY/14744513 </v>
      </c>
    </row>
    <row r="175" spans="1:12" ht="24.75" x14ac:dyDescent="0.25">
      <c r="A175" s="6" t="s">
        <v>3713</v>
      </c>
      <c r="B175" s="3" t="s">
        <v>3714</v>
      </c>
      <c r="C175" s="4">
        <v>1</v>
      </c>
      <c r="D175" s="5">
        <v>42</v>
      </c>
      <c r="E175" s="4">
        <v>5041517796200</v>
      </c>
      <c r="F175" s="3"/>
      <c r="G175" s="7" t="s">
        <v>5596</v>
      </c>
      <c r="H175" s="3" t="s">
        <v>5794</v>
      </c>
      <c r="I175" s="3" t="s">
        <v>3712</v>
      </c>
      <c r="J175" s="3" t="s">
        <v>5536</v>
      </c>
      <c r="K175" s="3" t="s">
        <v>5558</v>
      </c>
      <c r="L175" s="8" t="str">
        <f>HYPERLINK("http://slimages.macys.com/is/image/MCY/14447052 ")</f>
        <v xml:space="preserve">http://slimages.macys.com/is/image/MCY/14447052 </v>
      </c>
    </row>
    <row r="176" spans="1:12" ht="24.75" x14ac:dyDescent="0.25">
      <c r="A176" s="6" t="s">
        <v>3715</v>
      </c>
      <c r="B176" s="3" t="s">
        <v>3716</v>
      </c>
      <c r="C176" s="4">
        <v>1</v>
      </c>
      <c r="D176" s="5">
        <v>42</v>
      </c>
      <c r="E176" s="4">
        <v>5040937199100</v>
      </c>
      <c r="F176" s="3"/>
      <c r="G176" s="7" t="s">
        <v>5562</v>
      </c>
      <c r="H176" s="3" t="s">
        <v>5794</v>
      </c>
      <c r="I176" s="3" t="s">
        <v>3712</v>
      </c>
      <c r="J176" s="3" t="s">
        <v>5536</v>
      </c>
      <c r="K176" s="3" t="s">
        <v>5558</v>
      </c>
      <c r="L176" s="8" t="str">
        <f>HYPERLINK("http://slimages.macys.com/is/image/MCY/12869166 ")</f>
        <v xml:space="preserve">http://slimages.macys.com/is/image/MCY/12869166 </v>
      </c>
    </row>
    <row r="177" spans="1:12" ht="24.75" x14ac:dyDescent="0.25">
      <c r="A177" s="6" t="s">
        <v>3717</v>
      </c>
      <c r="B177" s="3" t="s">
        <v>3716</v>
      </c>
      <c r="C177" s="4">
        <v>1</v>
      </c>
      <c r="D177" s="5">
        <v>42</v>
      </c>
      <c r="E177" s="4">
        <v>5040937199100</v>
      </c>
      <c r="F177" s="3"/>
      <c r="G177" s="7" t="s">
        <v>5533</v>
      </c>
      <c r="H177" s="3" t="s">
        <v>5794</v>
      </c>
      <c r="I177" s="3" t="s">
        <v>3712</v>
      </c>
      <c r="J177" s="3" t="s">
        <v>5536</v>
      </c>
      <c r="K177" s="3" t="s">
        <v>5558</v>
      </c>
      <c r="L177" s="8" t="str">
        <f>HYPERLINK("http://slimages.macys.com/is/image/MCY/12869166 ")</f>
        <v xml:space="preserve">http://slimages.macys.com/is/image/MCY/12869166 </v>
      </c>
    </row>
    <row r="178" spans="1:12" ht="72.75" x14ac:dyDescent="0.25">
      <c r="A178" s="6" t="s">
        <v>6119</v>
      </c>
      <c r="B178" s="3" t="s">
        <v>6120</v>
      </c>
      <c r="C178" s="4">
        <v>1</v>
      </c>
      <c r="D178" s="5">
        <v>34.380000000000003</v>
      </c>
      <c r="E178" s="4" t="s">
        <v>6121</v>
      </c>
      <c r="F178" s="3" t="s">
        <v>5540</v>
      </c>
      <c r="G178" s="7" t="s">
        <v>5533</v>
      </c>
      <c r="H178" s="3" t="s">
        <v>5842</v>
      </c>
      <c r="I178" s="3" t="s">
        <v>5843</v>
      </c>
      <c r="J178" s="3" t="s">
        <v>5536</v>
      </c>
      <c r="K178" s="3" t="s">
        <v>6122</v>
      </c>
      <c r="L178" s="8" t="str">
        <f>HYPERLINK("http://slimages.macys.com/is/image/MCY/15251818 ")</f>
        <v xml:space="preserve">http://slimages.macys.com/is/image/MCY/15251818 </v>
      </c>
    </row>
    <row r="179" spans="1:12" ht="24.75" x14ac:dyDescent="0.25">
      <c r="A179" s="6" t="s">
        <v>3718</v>
      </c>
      <c r="B179" s="3" t="s">
        <v>2284</v>
      </c>
      <c r="C179" s="4">
        <v>1</v>
      </c>
      <c r="D179" s="5">
        <v>45</v>
      </c>
      <c r="E179" s="4">
        <v>100089635</v>
      </c>
      <c r="F179" s="3" t="s">
        <v>5556</v>
      </c>
      <c r="G179" s="7" t="s">
        <v>5598</v>
      </c>
      <c r="H179" s="3" t="s">
        <v>6019</v>
      </c>
      <c r="I179" s="3" t="s">
        <v>3918</v>
      </c>
      <c r="J179" s="3" t="s">
        <v>5536</v>
      </c>
      <c r="K179" s="3" t="s">
        <v>5549</v>
      </c>
      <c r="L179" s="8" t="str">
        <f>HYPERLINK("http://slimages.macys.com/is/image/MCY/16338215 ")</f>
        <v xml:space="preserve">http://slimages.macys.com/is/image/MCY/16338215 </v>
      </c>
    </row>
    <row r="180" spans="1:12" ht="24.75" x14ac:dyDescent="0.25">
      <c r="A180" s="6" t="s">
        <v>3719</v>
      </c>
      <c r="B180" s="3" t="s">
        <v>2284</v>
      </c>
      <c r="C180" s="4">
        <v>2</v>
      </c>
      <c r="D180" s="5">
        <v>90</v>
      </c>
      <c r="E180" s="4">
        <v>100089635</v>
      </c>
      <c r="F180" s="3" t="s">
        <v>5556</v>
      </c>
      <c r="G180" s="7" t="s">
        <v>5596</v>
      </c>
      <c r="H180" s="3" t="s">
        <v>6019</v>
      </c>
      <c r="I180" s="3" t="s">
        <v>3918</v>
      </c>
      <c r="J180" s="3" t="s">
        <v>5536</v>
      </c>
      <c r="K180" s="3" t="s">
        <v>5549</v>
      </c>
      <c r="L180" s="8" t="str">
        <f>HYPERLINK("http://slimages.macys.com/is/image/MCY/16338215 ")</f>
        <v xml:space="preserve">http://slimages.macys.com/is/image/MCY/16338215 </v>
      </c>
    </row>
    <row r="181" spans="1:12" ht="24.75" x14ac:dyDescent="0.25">
      <c r="A181" s="6" t="s">
        <v>3720</v>
      </c>
      <c r="B181" s="3" t="s">
        <v>2284</v>
      </c>
      <c r="C181" s="4">
        <v>1</v>
      </c>
      <c r="D181" s="5">
        <v>45</v>
      </c>
      <c r="E181" s="4">
        <v>100089635</v>
      </c>
      <c r="F181" s="3" t="s">
        <v>5556</v>
      </c>
      <c r="G181" s="7" t="s">
        <v>5562</v>
      </c>
      <c r="H181" s="3" t="s">
        <v>6019</v>
      </c>
      <c r="I181" s="3" t="s">
        <v>3918</v>
      </c>
      <c r="J181" s="3" t="s">
        <v>5536</v>
      </c>
      <c r="K181" s="3" t="s">
        <v>5549</v>
      </c>
      <c r="L181" s="8" t="str">
        <f>HYPERLINK("http://slimages.macys.com/is/image/MCY/16338215 ")</f>
        <v xml:space="preserve">http://slimages.macys.com/is/image/MCY/16338215 </v>
      </c>
    </row>
    <row r="182" spans="1:12" ht="24.75" x14ac:dyDescent="0.25">
      <c r="A182" s="6" t="s">
        <v>2283</v>
      </c>
      <c r="B182" s="3" t="s">
        <v>2284</v>
      </c>
      <c r="C182" s="4">
        <v>1</v>
      </c>
      <c r="D182" s="5">
        <v>45</v>
      </c>
      <c r="E182" s="4">
        <v>100089635</v>
      </c>
      <c r="F182" s="3" t="s">
        <v>5556</v>
      </c>
      <c r="G182" s="7" t="s">
        <v>5560</v>
      </c>
      <c r="H182" s="3" t="s">
        <v>6019</v>
      </c>
      <c r="I182" s="3" t="s">
        <v>3918</v>
      </c>
      <c r="J182" s="3" t="s">
        <v>5536</v>
      </c>
      <c r="K182" s="3" t="s">
        <v>5549</v>
      </c>
      <c r="L182" s="8" t="str">
        <f>HYPERLINK("http://slimages.macys.com/is/image/MCY/16338215 ")</f>
        <v xml:space="preserve">http://slimages.macys.com/is/image/MCY/16338215 </v>
      </c>
    </row>
    <row r="183" spans="1:12" ht="24.75" x14ac:dyDescent="0.25">
      <c r="A183" s="6" t="s">
        <v>3721</v>
      </c>
      <c r="B183" s="3" t="s">
        <v>2284</v>
      </c>
      <c r="C183" s="4">
        <v>2</v>
      </c>
      <c r="D183" s="5">
        <v>90</v>
      </c>
      <c r="E183" s="4">
        <v>100089635</v>
      </c>
      <c r="F183" s="3" t="s">
        <v>5556</v>
      </c>
      <c r="G183" s="7" t="s">
        <v>5533</v>
      </c>
      <c r="H183" s="3" t="s">
        <v>6019</v>
      </c>
      <c r="I183" s="3" t="s">
        <v>3918</v>
      </c>
      <c r="J183" s="3" t="s">
        <v>5536</v>
      </c>
      <c r="K183" s="3" t="s">
        <v>5549</v>
      </c>
      <c r="L183" s="8" t="str">
        <f>HYPERLINK("http://slimages.macys.com/is/image/MCY/16338215 ")</f>
        <v xml:space="preserve">http://slimages.macys.com/is/image/MCY/16338215 </v>
      </c>
    </row>
    <row r="184" spans="1:12" ht="24.75" x14ac:dyDescent="0.25">
      <c r="A184" s="6" t="s">
        <v>3722</v>
      </c>
      <c r="B184" s="3" t="s">
        <v>3723</v>
      </c>
      <c r="C184" s="4">
        <v>1</v>
      </c>
      <c r="D184" s="5">
        <v>30</v>
      </c>
      <c r="E184" s="4">
        <v>8101</v>
      </c>
      <c r="F184" s="3" t="s">
        <v>6271</v>
      </c>
      <c r="G184" s="7" t="s">
        <v>5596</v>
      </c>
      <c r="H184" s="3" t="s">
        <v>5794</v>
      </c>
      <c r="I184" s="3" t="s">
        <v>4325</v>
      </c>
      <c r="J184" s="3" t="s">
        <v>5536</v>
      </c>
      <c r="K184" s="3" t="s">
        <v>5594</v>
      </c>
      <c r="L184" s="8" t="str">
        <f>HYPERLINK("http://slimages.macys.com/is/image/MCY/14716530 ")</f>
        <v xml:space="preserve">http://slimages.macys.com/is/image/MCY/14716530 </v>
      </c>
    </row>
    <row r="185" spans="1:12" ht="24.75" x14ac:dyDescent="0.25">
      <c r="A185" s="6" t="s">
        <v>3724</v>
      </c>
      <c r="B185" s="3" t="s">
        <v>3725</v>
      </c>
      <c r="C185" s="4">
        <v>1</v>
      </c>
      <c r="D185" s="5">
        <v>45</v>
      </c>
      <c r="E185" s="4">
        <v>100029691</v>
      </c>
      <c r="F185" s="3" t="s">
        <v>6983</v>
      </c>
      <c r="G185" s="7" t="s">
        <v>5557</v>
      </c>
      <c r="H185" s="3" t="s">
        <v>6019</v>
      </c>
      <c r="I185" s="3" t="s">
        <v>4836</v>
      </c>
      <c r="J185" s="3" t="s">
        <v>5536</v>
      </c>
      <c r="K185" s="3" t="s">
        <v>6021</v>
      </c>
      <c r="L185" s="8" t="str">
        <f>HYPERLINK("http://slimages.macys.com/is/image/MCY/9903955 ")</f>
        <v xml:space="preserve">http://slimages.macys.com/is/image/MCY/9903955 </v>
      </c>
    </row>
    <row r="186" spans="1:12" ht="24.75" x14ac:dyDescent="0.25">
      <c r="A186" s="6" t="s">
        <v>3726</v>
      </c>
      <c r="B186" s="3" t="s">
        <v>3727</v>
      </c>
      <c r="C186" s="4">
        <v>2</v>
      </c>
      <c r="D186" s="5">
        <v>84</v>
      </c>
      <c r="E186" s="4">
        <v>5041517796500</v>
      </c>
      <c r="F186" s="3"/>
      <c r="G186" s="7" t="s">
        <v>5562</v>
      </c>
      <c r="H186" s="3" t="s">
        <v>5794</v>
      </c>
      <c r="I186" s="3" t="s">
        <v>3712</v>
      </c>
      <c r="J186" s="3" t="s">
        <v>5536</v>
      </c>
      <c r="K186" s="3" t="s">
        <v>5558</v>
      </c>
      <c r="L186" s="8" t="str">
        <f>HYPERLINK("http://slimages.macys.com/is/image/MCY/15187192 ")</f>
        <v xml:space="preserve">http://slimages.macys.com/is/image/MCY/15187192 </v>
      </c>
    </row>
    <row r="187" spans="1:12" ht="24.75" x14ac:dyDescent="0.25">
      <c r="A187" s="6" t="s">
        <v>3728</v>
      </c>
      <c r="B187" s="3" t="s">
        <v>3729</v>
      </c>
      <c r="C187" s="4">
        <v>1</v>
      </c>
      <c r="D187" s="5">
        <v>26</v>
      </c>
      <c r="E187" s="4" t="s">
        <v>3730</v>
      </c>
      <c r="F187" s="3" t="s">
        <v>5578</v>
      </c>
      <c r="G187" s="7" t="s">
        <v>5898</v>
      </c>
      <c r="H187" s="3" t="s">
        <v>3418</v>
      </c>
      <c r="I187" s="3" t="s">
        <v>3419</v>
      </c>
      <c r="J187" s="3" t="s">
        <v>5536</v>
      </c>
      <c r="K187" s="3" t="s">
        <v>3731</v>
      </c>
      <c r="L187" s="8" t="str">
        <f>HYPERLINK("http://slimages.macys.com/is/image/MCY/13958468 ")</f>
        <v xml:space="preserve">http://slimages.macys.com/is/image/MCY/13958468 </v>
      </c>
    </row>
    <row r="188" spans="1:12" x14ac:dyDescent="0.25">
      <c r="A188" s="6" t="s">
        <v>3732</v>
      </c>
      <c r="B188" s="3" t="s">
        <v>6145</v>
      </c>
      <c r="C188" s="4">
        <v>1</v>
      </c>
      <c r="D188" s="5">
        <v>49.5</v>
      </c>
      <c r="E188" s="4">
        <v>100019061</v>
      </c>
      <c r="F188" s="3" t="s">
        <v>5745</v>
      </c>
      <c r="G188" s="7" t="s">
        <v>5852</v>
      </c>
      <c r="H188" s="3" t="s">
        <v>5585</v>
      </c>
      <c r="I188" s="3" t="s">
        <v>5734</v>
      </c>
      <c r="J188" s="3" t="s">
        <v>5536</v>
      </c>
      <c r="K188" s="3" t="s">
        <v>6021</v>
      </c>
      <c r="L188" s="8" t="str">
        <f>HYPERLINK("http://slimages.macys.com/is/image/MCY/13287041 ")</f>
        <v xml:space="preserve">http://slimages.macys.com/is/image/MCY/13287041 </v>
      </c>
    </row>
    <row r="189" spans="1:12" ht="24.75" x14ac:dyDescent="0.25">
      <c r="A189" s="6" t="s">
        <v>4069</v>
      </c>
      <c r="B189" s="3" t="s">
        <v>4070</v>
      </c>
      <c r="C189" s="4">
        <v>1</v>
      </c>
      <c r="D189" s="5">
        <v>34.43</v>
      </c>
      <c r="E189" s="4" t="s">
        <v>4071</v>
      </c>
      <c r="F189" s="3" t="s">
        <v>5540</v>
      </c>
      <c r="G189" s="7" t="s">
        <v>5898</v>
      </c>
      <c r="H189" s="3" t="s">
        <v>5842</v>
      </c>
      <c r="I189" s="3" t="s">
        <v>5904</v>
      </c>
      <c r="J189" s="3" t="s">
        <v>5536</v>
      </c>
      <c r="K189" s="3" t="s">
        <v>5984</v>
      </c>
      <c r="L189" s="8" t="str">
        <f>HYPERLINK("http://slimages.macys.com/is/image/MCY/15724005 ")</f>
        <v xml:space="preserve">http://slimages.macys.com/is/image/MCY/15724005 </v>
      </c>
    </row>
    <row r="190" spans="1:12" ht="36.75" x14ac:dyDescent="0.25">
      <c r="A190" s="6" t="s">
        <v>2316</v>
      </c>
      <c r="B190" s="3" t="s">
        <v>2317</v>
      </c>
      <c r="C190" s="4">
        <v>1</v>
      </c>
      <c r="D190" s="5">
        <v>38</v>
      </c>
      <c r="E190" s="4">
        <v>92299</v>
      </c>
      <c r="F190" s="3" t="s">
        <v>5540</v>
      </c>
      <c r="G190" s="7" t="s">
        <v>6776</v>
      </c>
      <c r="H190" s="3" t="s">
        <v>5842</v>
      </c>
      <c r="I190" s="3" t="s">
        <v>5843</v>
      </c>
      <c r="J190" s="3" t="s">
        <v>5536</v>
      </c>
      <c r="K190" s="3" t="s">
        <v>2318</v>
      </c>
      <c r="L190" s="8" t="str">
        <f>HYPERLINK("http://slimages.macys.com/is/image/MCY/15168661 ")</f>
        <v xml:space="preserve">http://slimages.macys.com/is/image/MCY/15168661 </v>
      </c>
    </row>
    <row r="191" spans="1:12" ht="24.75" x14ac:dyDescent="0.25">
      <c r="A191" s="6" t="s">
        <v>3733</v>
      </c>
      <c r="B191" s="3" t="s">
        <v>3716</v>
      </c>
      <c r="C191" s="4">
        <v>1</v>
      </c>
      <c r="D191" s="5">
        <v>42</v>
      </c>
      <c r="E191" s="4">
        <v>5041519396400</v>
      </c>
      <c r="F191" s="3"/>
      <c r="G191" s="7" t="s">
        <v>5562</v>
      </c>
      <c r="H191" s="3" t="s">
        <v>5794</v>
      </c>
      <c r="I191" s="3" t="s">
        <v>3712</v>
      </c>
      <c r="J191" s="3" t="s">
        <v>5536</v>
      </c>
      <c r="K191" s="3" t="s">
        <v>5558</v>
      </c>
      <c r="L191" s="8" t="str">
        <f>HYPERLINK("http://slimages.macys.com/is/image/MCY/15187218 ")</f>
        <v xml:space="preserve">http://slimages.macys.com/is/image/MCY/15187218 </v>
      </c>
    </row>
    <row r="192" spans="1:12" ht="24.75" x14ac:dyDescent="0.25">
      <c r="A192" s="6" t="s">
        <v>3734</v>
      </c>
      <c r="B192" s="3" t="s">
        <v>3735</v>
      </c>
      <c r="C192" s="4">
        <v>1</v>
      </c>
      <c r="D192" s="5">
        <v>21</v>
      </c>
      <c r="E192" s="4" t="s">
        <v>3736</v>
      </c>
      <c r="F192" s="3" t="s">
        <v>5552</v>
      </c>
      <c r="G192" s="7"/>
      <c r="H192" s="3" t="s">
        <v>5606</v>
      </c>
      <c r="I192" s="3" t="s">
        <v>6258</v>
      </c>
      <c r="J192" s="3" t="s">
        <v>5536</v>
      </c>
      <c r="K192" s="3" t="s">
        <v>5594</v>
      </c>
      <c r="L192" s="8" t="str">
        <f>HYPERLINK("http://slimages.macys.com/is/image/MCY/9640372 ")</f>
        <v xml:space="preserve">http://slimages.macys.com/is/image/MCY/9640372 </v>
      </c>
    </row>
    <row r="193" spans="1:12" ht="36.75" x14ac:dyDescent="0.25">
      <c r="A193" s="6" t="s">
        <v>6235</v>
      </c>
      <c r="B193" s="3" t="s">
        <v>6232</v>
      </c>
      <c r="C193" s="4">
        <v>1</v>
      </c>
      <c r="D193" s="5">
        <v>30.13</v>
      </c>
      <c r="E193" s="4" t="s">
        <v>6233</v>
      </c>
      <c r="F193" s="3" t="s">
        <v>5540</v>
      </c>
      <c r="G193" s="7" t="s">
        <v>5533</v>
      </c>
      <c r="H193" s="3" t="s">
        <v>5842</v>
      </c>
      <c r="I193" s="3" t="s">
        <v>5904</v>
      </c>
      <c r="J193" s="3" t="s">
        <v>5536</v>
      </c>
      <c r="K193" s="3" t="s">
        <v>6234</v>
      </c>
      <c r="L193" s="8" t="str">
        <f>HYPERLINK("http://slimages.macys.com/is/image/MCY/14618829 ")</f>
        <v xml:space="preserve">http://slimages.macys.com/is/image/MCY/14618829 </v>
      </c>
    </row>
    <row r="194" spans="1:12" ht="24.75" x14ac:dyDescent="0.25">
      <c r="A194" s="6" t="s">
        <v>4111</v>
      </c>
      <c r="B194" s="3" t="s">
        <v>4103</v>
      </c>
      <c r="C194" s="4">
        <v>1</v>
      </c>
      <c r="D194" s="5">
        <v>29.99</v>
      </c>
      <c r="E194" s="4" t="s">
        <v>4104</v>
      </c>
      <c r="F194" s="3" t="s">
        <v>5532</v>
      </c>
      <c r="G194" s="7" t="s">
        <v>5560</v>
      </c>
      <c r="H194" s="3" t="s">
        <v>6608</v>
      </c>
      <c r="I194" s="3" t="s">
        <v>6609</v>
      </c>
      <c r="J194" s="3" t="s">
        <v>5536</v>
      </c>
      <c r="K194" s="3" t="s">
        <v>5594</v>
      </c>
      <c r="L194" s="8" t="str">
        <f>HYPERLINK("http://slimages.macys.com/is/image/MCY/9820981 ")</f>
        <v xml:space="preserve">http://slimages.macys.com/is/image/MCY/9820981 </v>
      </c>
    </row>
    <row r="195" spans="1:12" ht="24.75" x14ac:dyDescent="0.25">
      <c r="A195" s="6" t="s">
        <v>3737</v>
      </c>
      <c r="B195" s="3" t="s">
        <v>4113</v>
      </c>
      <c r="C195" s="4">
        <v>1</v>
      </c>
      <c r="D195" s="5">
        <v>29.99</v>
      </c>
      <c r="E195" s="4" t="s">
        <v>4114</v>
      </c>
      <c r="F195" s="3" t="s">
        <v>5552</v>
      </c>
      <c r="G195" s="7" t="s">
        <v>5560</v>
      </c>
      <c r="H195" s="3" t="s">
        <v>6608</v>
      </c>
      <c r="I195" s="3" t="s">
        <v>6609</v>
      </c>
      <c r="J195" s="3" t="s">
        <v>5536</v>
      </c>
      <c r="K195" s="3" t="s">
        <v>5594</v>
      </c>
      <c r="L195" s="8" t="str">
        <f>HYPERLINK("http://slimages.macys.com/is/image/MCY/9820981 ")</f>
        <v xml:space="preserve">http://slimages.macys.com/is/image/MCY/9820981 </v>
      </c>
    </row>
    <row r="196" spans="1:12" x14ac:dyDescent="0.25">
      <c r="A196" s="6" t="s">
        <v>3738</v>
      </c>
      <c r="B196" s="3" t="s">
        <v>3739</v>
      </c>
      <c r="C196" s="4">
        <v>1</v>
      </c>
      <c r="D196" s="5">
        <v>12.99</v>
      </c>
      <c r="E196" s="4" t="s">
        <v>3740</v>
      </c>
      <c r="F196" s="3" t="s">
        <v>5820</v>
      </c>
      <c r="G196" s="7" t="s">
        <v>5560</v>
      </c>
      <c r="H196" s="3" t="s">
        <v>5606</v>
      </c>
      <c r="I196" s="3" t="s">
        <v>5914</v>
      </c>
      <c r="J196" s="3" t="s">
        <v>5536</v>
      </c>
      <c r="K196" s="3" t="s">
        <v>5574</v>
      </c>
      <c r="L196" s="8" t="str">
        <f>HYPERLINK("http://slimages.macys.com/is/image/MCY/11523601 ")</f>
        <v xml:space="preserve">http://slimages.macys.com/is/image/MCY/11523601 </v>
      </c>
    </row>
    <row r="197" spans="1:12" ht="24.75" x14ac:dyDescent="0.25">
      <c r="A197" s="6" t="s">
        <v>3741</v>
      </c>
      <c r="B197" s="3" t="s">
        <v>3742</v>
      </c>
      <c r="C197" s="4">
        <v>1</v>
      </c>
      <c r="D197" s="5">
        <v>25</v>
      </c>
      <c r="E197" s="4" t="s">
        <v>3743</v>
      </c>
      <c r="F197" s="3" t="s">
        <v>5661</v>
      </c>
      <c r="G197" s="7"/>
      <c r="H197" s="3" t="s">
        <v>5825</v>
      </c>
      <c r="I197" s="3" t="s">
        <v>6265</v>
      </c>
      <c r="J197" s="3" t="s">
        <v>5536</v>
      </c>
      <c r="K197" s="3" t="s">
        <v>6266</v>
      </c>
      <c r="L197" s="8" t="str">
        <f>HYPERLINK("http://slimages.macys.com/is/image/MCY/9870502 ")</f>
        <v xml:space="preserve">http://slimages.macys.com/is/image/MCY/9870502 </v>
      </c>
    </row>
    <row r="198" spans="1:12" ht="24.75" x14ac:dyDescent="0.25">
      <c r="A198" s="6" t="s">
        <v>4946</v>
      </c>
      <c r="B198" s="3" t="s">
        <v>4947</v>
      </c>
      <c r="C198" s="4">
        <v>2</v>
      </c>
      <c r="D198" s="5">
        <v>50</v>
      </c>
      <c r="E198" s="4" t="s">
        <v>4948</v>
      </c>
      <c r="F198" s="3" t="s">
        <v>5661</v>
      </c>
      <c r="G198" s="7"/>
      <c r="H198" s="3" t="s">
        <v>5825</v>
      </c>
      <c r="I198" s="3" t="s">
        <v>6265</v>
      </c>
      <c r="J198" s="3" t="s">
        <v>5536</v>
      </c>
      <c r="K198" s="3" t="s">
        <v>6266</v>
      </c>
      <c r="L198" s="8" t="str">
        <f>HYPERLINK("http://slimages.macys.com/is/image/MCY/9870334 ")</f>
        <v xml:space="preserve">http://slimages.macys.com/is/image/MCY/9870334 </v>
      </c>
    </row>
    <row r="199" spans="1:12" ht="24.75" x14ac:dyDescent="0.25">
      <c r="A199" s="6" t="s">
        <v>3744</v>
      </c>
      <c r="B199" s="3" t="s">
        <v>4947</v>
      </c>
      <c r="C199" s="4">
        <v>1</v>
      </c>
      <c r="D199" s="5">
        <v>25</v>
      </c>
      <c r="E199" s="4" t="s">
        <v>4948</v>
      </c>
      <c r="F199" s="3" t="s">
        <v>5661</v>
      </c>
      <c r="G199" s="7"/>
      <c r="H199" s="3" t="s">
        <v>5825</v>
      </c>
      <c r="I199" s="3" t="s">
        <v>6265</v>
      </c>
      <c r="J199" s="3" t="s">
        <v>5536</v>
      </c>
      <c r="K199" s="3" t="s">
        <v>6266</v>
      </c>
      <c r="L199" s="8" t="str">
        <f>HYPERLINK("http://slimages.macys.com/is/image/MCY/9870334 ")</f>
        <v xml:space="preserve">http://slimages.macys.com/is/image/MCY/9870334 </v>
      </c>
    </row>
    <row r="200" spans="1:12" ht="24.75" x14ac:dyDescent="0.25">
      <c r="A200" s="6" t="s">
        <v>3745</v>
      </c>
      <c r="B200" s="3" t="s">
        <v>4947</v>
      </c>
      <c r="C200" s="4">
        <v>2</v>
      </c>
      <c r="D200" s="5">
        <v>50</v>
      </c>
      <c r="E200" s="4" t="s">
        <v>4948</v>
      </c>
      <c r="F200" s="3" t="s">
        <v>5661</v>
      </c>
      <c r="G200" s="7"/>
      <c r="H200" s="3" t="s">
        <v>5825</v>
      </c>
      <c r="I200" s="3" t="s">
        <v>6265</v>
      </c>
      <c r="J200" s="3" t="s">
        <v>5536</v>
      </c>
      <c r="K200" s="3" t="s">
        <v>6266</v>
      </c>
      <c r="L200" s="8" t="str">
        <f>HYPERLINK("http://slimages.macys.com/is/image/MCY/9870334 ")</f>
        <v xml:space="preserve">http://slimages.macys.com/is/image/MCY/9870334 </v>
      </c>
    </row>
    <row r="201" spans="1:12" ht="24.75" x14ac:dyDescent="0.25">
      <c r="A201" s="6" t="s">
        <v>3746</v>
      </c>
      <c r="B201" s="3" t="s">
        <v>4947</v>
      </c>
      <c r="C201" s="4">
        <v>1</v>
      </c>
      <c r="D201" s="5">
        <v>25</v>
      </c>
      <c r="E201" s="4" t="s">
        <v>4948</v>
      </c>
      <c r="F201" s="3" t="s">
        <v>5661</v>
      </c>
      <c r="G201" s="7"/>
      <c r="H201" s="3" t="s">
        <v>5825</v>
      </c>
      <c r="I201" s="3" t="s">
        <v>6265</v>
      </c>
      <c r="J201" s="3" t="s">
        <v>5536</v>
      </c>
      <c r="K201" s="3" t="s">
        <v>6266</v>
      </c>
      <c r="L201" s="8" t="str">
        <f>HYPERLINK("http://slimages.macys.com/is/image/MCY/9870334 ")</f>
        <v xml:space="preserve">http://slimages.macys.com/is/image/MCY/9870334 </v>
      </c>
    </row>
    <row r="202" spans="1:12" ht="36.75" x14ac:dyDescent="0.25">
      <c r="A202" s="6" t="s">
        <v>3747</v>
      </c>
      <c r="B202" s="3" t="s">
        <v>3748</v>
      </c>
      <c r="C202" s="4">
        <v>1</v>
      </c>
      <c r="D202" s="5">
        <v>18</v>
      </c>
      <c r="E202" s="4" t="s">
        <v>3749</v>
      </c>
      <c r="F202" s="3" t="s">
        <v>5532</v>
      </c>
      <c r="G202" s="7"/>
      <c r="H202" s="3" t="s">
        <v>5606</v>
      </c>
      <c r="I202" s="3" t="s">
        <v>6258</v>
      </c>
      <c r="J202" s="3" t="s">
        <v>5536</v>
      </c>
      <c r="K202" s="3" t="s">
        <v>3750</v>
      </c>
      <c r="L202" s="8" t="str">
        <f>HYPERLINK("http://slimages.macys.com/is/image/MCY/10543266 ")</f>
        <v xml:space="preserve">http://slimages.macys.com/is/image/MCY/10543266 </v>
      </c>
    </row>
    <row r="203" spans="1:12" ht="24.75" x14ac:dyDescent="0.25">
      <c r="A203" s="6" t="s">
        <v>3751</v>
      </c>
      <c r="B203" s="3" t="s">
        <v>3752</v>
      </c>
      <c r="C203" s="4">
        <v>1</v>
      </c>
      <c r="D203" s="5">
        <v>25</v>
      </c>
      <c r="E203" s="4" t="s">
        <v>3753</v>
      </c>
      <c r="F203" s="3" t="s">
        <v>5540</v>
      </c>
      <c r="G203" s="7" t="s">
        <v>5898</v>
      </c>
      <c r="H203" s="3" t="s">
        <v>5842</v>
      </c>
      <c r="I203" s="3" t="s">
        <v>3644</v>
      </c>
      <c r="J203" s="3" t="s">
        <v>5536</v>
      </c>
      <c r="K203" s="3" t="s">
        <v>3754</v>
      </c>
      <c r="L203" s="8" t="str">
        <f>HYPERLINK("http://slimages.macys.com/is/image/MCY/9505478 ")</f>
        <v xml:space="preserve">http://slimages.macys.com/is/image/MCY/9505478 </v>
      </c>
    </row>
    <row r="204" spans="1:12" ht="24.75" x14ac:dyDescent="0.25">
      <c r="A204" s="6" t="s">
        <v>4128</v>
      </c>
      <c r="B204" s="3" t="s">
        <v>4129</v>
      </c>
      <c r="C204" s="4">
        <v>2</v>
      </c>
      <c r="D204" s="5">
        <v>42</v>
      </c>
      <c r="E204" s="4" t="s">
        <v>4130</v>
      </c>
      <c r="F204" s="3" t="s">
        <v>5540</v>
      </c>
      <c r="G204" s="7"/>
      <c r="H204" s="3" t="s">
        <v>5606</v>
      </c>
      <c r="I204" s="3" t="s">
        <v>6258</v>
      </c>
      <c r="J204" s="3" t="s">
        <v>5536</v>
      </c>
      <c r="K204" s="3" t="s">
        <v>5549</v>
      </c>
      <c r="L204" s="8" t="str">
        <f>HYPERLINK("http://slimages.macys.com/is/image/MCY/12724429 ")</f>
        <v xml:space="preserve">http://slimages.macys.com/is/image/MCY/12724429 </v>
      </c>
    </row>
    <row r="205" spans="1:12" ht="24.75" x14ac:dyDescent="0.25">
      <c r="A205" s="6" t="s">
        <v>3755</v>
      </c>
      <c r="B205" s="3" t="s">
        <v>3756</v>
      </c>
      <c r="C205" s="4">
        <v>1</v>
      </c>
      <c r="D205" s="5">
        <v>36.99</v>
      </c>
      <c r="E205" s="4">
        <v>5277113</v>
      </c>
      <c r="F205" s="3" t="s">
        <v>5661</v>
      </c>
      <c r="G205" s="7" t="s">
        <v>5598</v>
      </c>
      <c r="H205" s="3" t="s">
        <v>3963</v>
      </c>
      <c r="I205" s="3" t="s">
        <v>3757</v>
      </c>
      <c r="J205" s="3" t="s">
        <v>5536</v>
      </c>
      <c r="K205" s="3" t="s">
        <v>5574</v>
      </c>
      <c r="L205" s="8" t="str">
        <f>HYPERLINK("http://slimages.macys.com/is/image/MCY/13765630 ")</f>
        <v xml:space="preserve">http://slimages.macys.com/is/image/MCY/13765630 </v>
      </c>
    </row>
    <row r="206" spans="1:12" ht="24.75" x14ac:dyDescent="0.25">
      <c r="A206" s="6" t="s">
        <v>4952</v>
      </c>
      <c r="B206" s="3" t="s">
        <v>6263</v>
      </c>
      <c r="C206" s="4">
        <v>1</v>
      </c>
      <c r="D206" s="5">
        <v>25.5</v>
      </c>
      <c r="E206" s="4" t="s">
        <v>6264</v>
      </c>
      <c r="F206" s="3" t="s">
        <v>5578</v>
      </c>
      <c r="G206" s="7"/>
      <c r="H206" s="3" t="s">
        <v>5825</v>
      </c>
      <c r="I206" s="3" t="s">
        <v>6265</v>
      </c>
      <c r="J206" s="3" t="s">
        <v>5536</v>
      </c>
      <c r="K206" s="3" t="s">
        <v>6266</v>
      </c>
      <c r="L206" s="8" t="str">
        <f t="shared" ref="L206:L212" si="3">HYPERLINK("http://slimages.macys.com/is/image/MCY/11518029 ")</f>
        <v xml:space="preserve">http://slimages.macys.com/is/image/MCY/11518029 </v>
      </c>
    </row>
    <row r="207" spans="1:12" ht="24.75" x14ac:dyDescent="0.25">
      <c r="A207" s="6" t="s">
        <v>3758</v>
      </c>
      <c r="B207" s="3" t="s">
        <v>6263</v>
      </c>
      <c r="C207" s="4">
        <v>1</v>
      </c>
      <c r="D207" s="5">
        <v>25.5</v>
      </c>
      <c r="E207" s="4" t="s">
        <v>6264</v>
      </c>
      <c r="F207" s="3" t="s">
        <v>6217</v>
      </c>
      <c r="G207" s="7"/>
      <c r="H207" s="3" t="s">
        <v>5825</v>
      </c>
      <c r="I207" s="3" t="s">
        <v>6265</v>
      </c>
      <c r="J207" s="3" t="s">
        <v>5536</v>
      </c>
      <c r="K207" s="3" t="s">
        <v>6266</v>
      </c>
      <c r="L207" s="8" t="str">
        <f t="shared" si="3"/>
        <v xml:space="preserve">http://slimages.macys.com/is/image/MCY/11518029 </v>
      </c>
    </row>
    <row r="208" spans="1:12" ht="24.75" x14ac:dyDescent="0.25">
      <c r="A208" s="6" t="s">
        <v>6262</v>
      </c>
      <c r="B208" s="3" t="s">
        <v>6263</v>
      </c>
      <c r="C208" s="4">
        <v>1</v>
      </c>
      <c r="D208" s="5">
        <v>25.5</v>
      </c>
      <c r="E208" s="4" t="s">
        <v>6264</v>
      </c>
      <c r="F208" s="3" t="s">
        <v>5578</v>
      </c>
      <c r="G208" s="7"/>
      <c r="H208" s="3" t="s">
        <v>5825</v>
      </c>
      <c r="I208" s="3" t="s">
        <v>6265</v>
      </c>
      <c r="J208" s="3" t="s">
        <v>5536</v>
      </c>
      <c r="K208" s="3" t="s">
        <v>6266</v>
      </c>
      <c r="L208" s="8" t="str">
        <f t="shared" si="3"/>
        <v xml:space="preserve">http://slimages.macys.com/is/image/MCY/11518029 </v>
      </c>
    </row>
    <row r="209" spans="1:12" ht="24.75" x14ac:dyDescent="0.25">
      <c r="A209" s="6" t="s">
        <v>3759</v>
      </c>
      <c r="B209" s="3" t="s">
        <v>6263</v>
      </c>
      <c r="C209" s="4">
        <v>1</v>
      </c>
      <c r="D209" s="5">
        <v>25.5</v>
      </c>
      <c r="E209" s="4" t="s">
        <v>6264</v>
      </c>
      <c r="F209" s="3" t="s">
        <v>5578</v>
      </c>
      <c r="G209" s="7"/>
      <c r="H209" s="3" t="s">
        <v>5825</v>
      </c>
      <c r="I209" s="3" t="s">
        <v>6265</v>
      </c>
      <c r="J209" s="3" t="s">
        <v>5536</v>
      </c>
      <c r="K209" s="3" t="s">
        <v>6266</v>
      </c>
      <c r="L209" s="8" t="str">
        <f t="shared" si="3"/>
        <v xml:space="preserve">http://slimages.macys.com/is/image/MCY/11518029 </v>
      </c>
    </row>
    <row r="210" spans="1:12" ht="24.75" x14ac:dyDescent="0.25">
      <c r="A210" s="6" t="s">
        <v>3760</v>
      </c>
      <c r="B210" s="3" t="s">
        <v>6263</v>
      </c>
      <c r="C210" s="4">
        <v>1</v>
      </c>
      <c r="D210" s="5">
        <v>25.5</v>
      </c>
      <c r="E210" s="4" t="s">
        <v>6264</v>
      </c>
      <c r="F210" s="3" t="s">
        <v>6217</v>
      </c>
      <c r="G210" s="7"/>
      <c r="H210" s="3" t="s">
        <v>5825</v>
      </c>
      <c r="I210" s="3" t="s">
        <v>6265</v>
      </c>
      <c r="J210" s="3" t="s">
        <v>5536</v>
      </c>
      <c r="K210" s="3" t="s">
        <v>6266</v>
      </c>
      <c r="L210" s="8" t="str">
        <f t="shared" si="3"/>
        <v xml:space="preserve">http://slimages.macys.com/is/image/MCY/11518029 </v>
      </c>
    </row>
    <row r="211" spans="1:12" ht="24.75" x14ac:dyDescent="0.25">
      <c r="A211" s="6" t="s">
        <v>2381</v>
      </c>
      <c r="B211" s="3" t="s">
        <v>6263</v>
      </c>
      <c r="C211" s="4">
        <v>1</v>
      </c>
      <c r="D211" s="5">
        <v>25.5</v>
      </c>
      <c r="E211" s="4" t="s">
        <v>6264</v>
      </c>
      <c r="F211" s="3" t="s">
        <v>6335</v>
      </c>
      <c r="G211" s="7"/>
      <c r="H211" s="3" t="s">
        <v>5825</v>
      </c>
      <c r="I211" s="3" t="s">
        <v>6265</v>
      </c>
      <c r="J211" s="3" t="s">
        <v>5536</v>
      </c>
      <c r="K211" s="3" t="s">
        <v>6266</v>
      </c>
      <c r="L211" s="8" t="str">
        <f t="shared" si="3"/>
        <v xml:space="preserve">http://slimages.macys.com/is/image/MCY/11518029 </v>
      </c>
    </row>
    <row r="212" spans="1:12" ht="24.75" x14ac:dyDescent="0.25">
      <c r="A212" s="6" t="s">
        <v>3761</v>
      </c>
      <c r="B212" s="3" t="s">
        <v>6263</v>
      </c>
      <c r="C212" s="4">
        <v>1</v>
      </c>
      <c r="D212" s="5">
        <v>25.5</v>
      </c>
      <c r="E212" s="4" t="s">
        <v>6264</v>
      </c>
      <c r="F212" s="3" t="s">
        <v>5578</v>
      </c>
      <c r="G212" s="7"/>
      <c r="H212" s="3" t="s">
        <v>5825</v>
      </c>
      <c r="I212" s="3" t="s">
        <v>6265</v>
      </c>
      <c r="J212" s="3" t="s">
        <v>5536</v>
      </c>
      <c r="K212" s="3" t="s">
        <v>6266</v>
      </c>
      <c r="L212" s="8" t="str">
        <f t="shared" si="3"/>
        <v xml:space="preserve">http://slimages.macys.com/is/image/MCY/11518029 </v>
      </c>
    </row>
    <row r="213" spans="1:12" x14ac:dyDescent="0.25">
      <c r="A213" s="6" t="s">
        <v>3762</v>
      </c>
      <c r="B213" s="3" t="s">
        <v>3763</v>
      </c>
      <c r="C213" s="4">
        <v>1</v>
      </c>
      <c r="D213" s="5">
        <v>18</v>
      </c>
      <c r="E213" s="4" t="s">
        <v>3764</v>
      </c>
      <c r="F213" s="3" t="s">
        <v>5754</v>
      </c>
      <c r="G213" s="7" t="s">
        <v>6252</v>
      </c>
      <c r="H213" s="3" t="s">
        <v>5606</v>
      </c>
      <c r="I213" s="3" t="s">
        <v>6258</v>
      </c>
      <c r="J213" s="3" t="s">
        <v>5536</v>
      </c>
      <c r="K213" s="3" t="s">
        <v>5594</v>
      </c>
      <c r="L213" s="8" t="str">
        <f>HYPERLINK("http://slimages.macys.com/is/image/MCY/10520394 ")</f>
        <v xml:space="preserve">http://slimages.macys.com/is/image/MCY/10520394 </v>
      </c>
    </row>
    <row r="214" spans="1:12" ht="24.75" x14ac:dyDescent="0.25">
      <c r="A214" s="6" t="s">
        <v>6354</v>
      </c>
      <c r="B214" s="3" t="s">
        <v>6294</v>
      </c>
      <c r="C214" s="4">
        <v>1</v>
      </c>
      <c r="D214" s="5">
        <v>28</v>
      </c>
      <c r="E214" s="4">
        <v>87994402</v>
      </c>
      <c r="F214" s="3" t="s">
        <v>5793</v>
      </c>
      <c r="G214" s="7" t="s">
        <v>5898</v>
      </c>
      <c r="H214" s="3" t="s">
        <v>6280</v>
      </c>
      <c r="I214" s="3" t="s">
        <v>6281</v>
      </c>
      <c r="J214" s="3" t="s">
        <v>5536</v>
      </c>
      <c r="K214" s="3" t="s">
        <v>6295</v>
      </c>
      <c r="L214" s="8" t="str">
        <f>HYPERLINK("http://slimages.macys.com/is/image/MCY/15884038 ")</f>
        <v xml:space="preserve">http://slimages.macys.com/is/image/MCY/15884038 </v>
      </c>
    </row>
    <row r="215" spans="1:12" ht="24.75" x14ac:dyDescent="0.25">
      <c r="A215" s="6" t="s">
        <v>3765</v>
      </c>
      <c r="B215" s="3" t="s">
        <v>6381</v>
      </c>
      <c r="C215" s="4">
        <v>1</v>
      </c>
      <c r="D215" s="5">
        <v>28</v>
      </c>
      <c r="E215" s="4" t="s">
        <v>6382</v>
      </c>
      <c r="F215" s="3" t="s">
        <v>5803</v>
      </c>
      <c r="G215" s="7" t="s">
        <v>5898</v>
      </c>
      <c r="H215" s="3" t="s">
        <v>6280</v>
      </c>
      <c r="I215" s="3" t="s">
        <v>6288</v>
      </c>
      <c r="J215" s="3" t="s">
        <v>5536</v>
      </c>
      <c r="K215" s="3" t="s">
        <v>6295</v>
      </c>
      <c r="L215" s="8" t="str">
        <f>HYPERLINK("http://slimages.macys.com/is/image/MCY/14501689 ")</f>
        <v xml:space="preserve">http://slimages.macys.com/is/image/MCY/14501689 </v>
      </c>
    </row>
    <row r="216" spans="1:12" ht="24.75" x14ac:dyDescent="0.25">
      <c r="A216" s="6" t="s">
        <v>6324</v>
      </c>
      <c r="B216" s="3" t="s">
        <v>6325</v>
      </c>
      <c r="C216" s="4">
        <v>1</v>
      </c>
      <c r="D216" s="5">
        <v>28</v>
      </c>
      <c r="E216" s="4" t="s">
        <v>6326</v>
      </c>
      <c r="F216" s="3" t="s">
        <v>5540</v>
      </c>
      <c r="G216" s="7" t="s">
        <v>5898</v>
      </c>
      <c r="H216" s="3" t="s">
        <v>6280</v>
      </c>
      <c r="I216" s="3" t="s">
        <v>6288</v>
      </c>
      <c r="J216" s="3" t="s">
        <v>5536</v>
      </c>
      <c r="K216" s="3" t="s">
        <v>6327</v>
      </c>
      <c r="L216" s="8" t="str">
        <f>HYPERLINK("http://slimages.macys.com/is/image/MCY/15145045 ")</f>
        <v xml:space="preserve">http://slimages.macys.com/is/image/MCY/15145045 </v>
      </c>
    </row>
    <row r="217" spans="1:12" ht="24.75" x14ac:dyDescent="0.25">
      <c r="A217" s="6" t="s">
        <v>6350</v>
      </c>
      <c r="B217" s="3" t="s">
        <v>6351</v>
      </c>
      <c r="C217" s="4">
        <v>1</v>
      </c>
      <c r="D217" s="5">
        <v>28</v>
      </c>
      <c r="E217" s="4" t="s">
        <v>6352</v>
      </c>
      <c r="F217" s="3" t="s">
        <v>5540</v>
      </c>
      <c r="G217" s="7" t="s">
        <v>5898</v>
      </c>
      <c r="H217" s="3" t="s">
        <v>6280</v>
      </c>
      <c r="I217" s="3" t="s">
        <v>6288</v>
      </c>
      <c r="J217" s="3" t="s">
        <v>5536</v>
      </c>
      <c r="K217" s="3" t="s">
        <v>6327</v>
      </c>
      <c r="L217" s="8" t="str">
        <f>HYPERLINK("http://slimages.macys.com/is/image/MCY/15604756 ")</f>
        <v xml:space="preserve">http://slimages.macys.com/is/image/MCY/15604756 </v>
      </c>
    </row>
    <row r="218" spans="1:12" ht="36.75" x14ac:dyDescent="0.25">
      <c r="A218" s="6" t="s">
        <v>6318</v>
      </c>
      <c r="B218" s="3" t="s">
        <v>6319</v>
      </c>
      <c r="C218" s="4">
        <v>1</v>
      </c>
      <c r="D218" s="5">
        <v>28</v>
      </c>
      <c r="E218" s="4" t="s">
        <v>6320</v>
      </c>
      <c r="F218" s="3" t="s">
        <v>5754</v>
      </c>
      <c r="G218" s="7" t="s">
        <v>5898</v>
      </c>
      <c r="H218" s="3" t="s">
        <v>6280</v>
      </c>
      <c r="I218" s="3" t="s">
        <v>6288</v>
      </c>
      <c r="J218" s="3" t="s">
        <v>5536</v>
      </c>
      <c r="K218" s="3" t="s">
        <v>6321</v>
      </c>
      <c r="L218" s="8" t="str">
        <f>HYPERLINK("http://slimages.macys.com/is/image/MCY/15661626 ")</f>
        <v xml:space="preserve">http://slimages.macys.com/is/image/MCY/15661626 </v>
      </c>
    </row>
    <row r="219" spans="1:12" ht="24.75" x14ac:dyDescent="0.25">
      <c r="A219" s="6" t="s">
        <v>6373</v>
      </c>
      <c r="B219" s="3" t="s">
        <v>6374</v>
      </c>
      <c r="C219" s="4">
        <v>1</v>
      </c>
      <c r="D219" s="5">
        <v>28</v>
      </c>
      <c r="E219" s="4" t="s">
        <v>6375</v>
      </c>
      <c r="F219" s="3" t="s">
        <v>5532</v>
      </c>
      <c r="G219" s="7" t="s">
        <v>5898</v>
      </c>
      <c r="H219" s="3" t="s">
        <v>6280</v>
      </c>
      <c r="I219" s="3" t="s">
        <v>6288</v>
      </c>
      <c r="J219" s="3" t="s">
        <v>5536</v>
      </c>
      <c r="K219" s="3" t="s">
        <v>6376</v>
      </c>
      <c r="L219" s="8" t="str">
        <f>HYPERLINK("http://slimages.macys.com/is/image/MCY/16192518 ")</f>
        <v xml:space="preserve">http://slimages.macys.com/is/image/MCY/16192518 </v>
      </c>
    </row>
    <row r="220" spans="1:12" ht="24.75" x14ac:dyDescent="0.25">
      <c r="A220" s="6" t="s">
        <v>6345</v>
      </c>
      <c r="B220" s="3" t="s">
        <v>6341</v>
      </c>
      <c r="C220" s="4">
        <v>1</v>
      </c>
      <c r="D220" s="5">
        <v>28</v>
      </c>
      <c r="E220" s="4">
        <v>87994201</v>
      </c>
      <c r="F220" s="3" t="s">
        <v>5532</v>
      </c>
      <c r="G220" s="7" t="s">
        <v>5898</v>
      </c>
      <c r="H220" s="3" t="s">
        <v>6280</v>
      </c>
      <c r="I220" s="3" t="s">
        <v>6281</v>
      </c>
      <c r="J220" s="3" t="s">
        <v>5536</v>
      </c>
      <c r="K220" s="3" t="s">
        <v>6342</v>
      </c>
      <c r="L220" s="8" t="str">
        <f>HYPERLINK("http://slimages.macys.com/is/image/MCY/15147424 ")</f>
        <v xml:space="preserve">http://slimages.macys.com/is/image/MCY/15147424 </v>
      </c>
    </row>
    <row r="221" spans="1:12" ht="24.75" x14ac:dyDescent="0.25">
      <c r="A221" s="6" t="s">
        <v>4171</v>
      </c>
      <c r="B221" s="3" t="s">
        <v>4172</v>
      </c>
      <c r="C221" s="4">
        <v>2</v>
      </c>
      <c r="D221" s="5">
        <v>56</v>
      </c>
      <c r="E221" s="4">
        <v>87594611</v>
      </c>
      <c r="F221" s="3" t="s">
        <v>5815</v>
      </c>
      <c r="G221" s="7" t="s">
        <v>5898</v>
      </c>
      <c r="H221" s="3" t="s">
        <v>6280</v>
      </c>
      <c r="I221" s="3" t="s">
        <v>6281</v>
      </c>
      <c r="J221" s="3" t="s">
        <v>5536</v>
      </c>
      <c r="K221" s="3" t="s">
        <v>6295</v>
      </c>
      <c r="L221" s="8" t="str">
        <f>HYPERLINK("http://slimages.macys.com/is/image/MCY/15883965 ")</f>
        <v xml:space="preserve">http://slimages.macys.com/is/image/MCY/15883965 </v>
      </c>
    </row>
    <row r="222" spans="1:12" ht="24.75" x14ac:dyDescent="0.25">
      <c r="A222" s="6" t="s">
        <v>6282</v>
      </c>
      <c r="B222" s="3" t="s">
        <v>6283</v>
      </c>
      <c r="C222" s="4">
        <v>1</v>
      </c>
      <c r="D222" s="5">
        <v>28</v>
      </c>
      <c r="E222" s="4">
        <v>81994507</v>
      </c>
      <c r="F222" s="3" t="s">
        <v>5532</v>
      </c>
      <c r="G222" s="7" t="s">
        <v>5898</v>
      </c>
      <c r="H222" s="3" t="s">
        <v>6280</v>
      </c>
      <c r="I222" s="3" t="s">
        <v>6281</v>
      </c>
      <c r="J222" s="3" t="s">
        <v>5536</v>
      </c>
      <c r="K222" s="3" t="s">
        <v>6284</v>
      </c>
      <c r="L222" s="8" t="str">
        <f>HYPERLINK("http://slimages.macys.com/is/image/MCY/15882899 ")</f>
        <v xml:space="preserve">http://slimages.macys.com/is/image/MCY/15882899 </v>
      </c>
    </row>
    <row r="223" spans="1:12" ht="24.75" x14ac:dyDescent="0.25">
      <c r="A223" s="6" t="s">
        <v>6285</v>
      </c>
      <c r="B223" s="3" t="s">
        <v>6286</v>
      </c>
      <c r="C223" s="4">
        <v>1</v>
      </c>
      <c r="D223" s="5">
        <v>28</v>
      </c>
      <c r="E223" s="4" t="s">
        <v>6287</v>
      </c>
      <c r="F223" s="3" t="s">
        <v>5540</v>
      </c>
      <c r="G223" s="7" t="s">
        <v>5898</v>
      </c>
      <c r="H223" s="3" t="s">
        <v>6280</v>
      </c>
      <c r="I223" s="3" t="s">
        <v>6288</v>
      </c>
      <c r="J223" s="3" t="s">
        <v>5536</v>
      </c>
      <c r="K223" s="3" t="s">
        <v>6289</v>
      </c>
      <c r="L223" s="8" t="str">
        <f>HYPERLINK("http://slimages.macys.com/is/image/MCY/15604747 ")</f>
        <v xml:space="preserve">http://slimages.macys.com/is/image/MCY/15604747 </v>
      </c>
    </row>
    <row r="224" spans="1:12" ht="24.75" x14ac:dyDescent="0.25">
      <c r="A224" s="6" t="s">
        <v>6365</v>
      </c>
      <c r="B224" s="3" t="s">
        <v>6359</v>
      </c>
      <c r="C224" s="4">
        <v>2</v>
      </c>
      <c r="D224" s="5">
        <v>56</v>
      </c>
      <c r="E224" s="4" t="s">
        <v>6360</v>
      </c>
      <c r="F224" s="3" t="s">
        <v>5625</v>
      </c>
      <c r="G224" s="7" t="s">
        <v>5898</v>
      </c>
      <c r="H224" s="3" t="s">
        <v>6280</v>
      </c>
      <c r="I224" s="3" t="s">
        <v>6288</v>
      </c>
      <c r="J224" s="3" t="s">
        <v>5536</v>
      </c>
      <c r="K224" s="3" t="s">
        <v>6295</v>
      </c>
      <c r="L224" s="8" t="str">
        <f>HYPERLINK("http://slimages.macys.com/is/image/MCY/15918338 ")</f>
        <v xml:space="preserve">http://slimages.macys.com/is/image/MCY/15918338 </v>
      </c>
    </row>
    <row r="225" spans="1:12" ht="24.75" x14ac:dyDescent="0.25">
      <c r="A225" s="6" t="s">
        <v>6339</v>
      </c>
      <c r="B225" s="3" t="s">
        <v>6279</v>
      </c>
      <c r="C225" s="4">
        <v>1</v>
      </c>
      <c r="D225" s="5">
        <v>28</v>
      </c>
      <c r="E225" s="4">
        <v>87594201</v>
      </c>
      <c r="F225" s="3" t="s">
        <v>5532</v>
      </c>
      <c r="G225" s="7" t="s">
        <v>5898</v>
      </c>
      <c r="H225" s="3" t="s">
        <v>6280</v>
      </c>
      <c r="I225" s="3" t="s">
        <v>6281</v>
      </c>
      <c r="J225" s="3" t="s">
        <v>5536</v>
      </c>
      <c r="K225" s="3" t="s">
        <v>5549</v>
      </c>
      <c r="L225" s="8" t="str">
        <f>HYPERLINK("http://slimages.macys.com/is/image/MCY/15882915 ")</f>
        <v xml:space="preserve">http://slimages.macys.com/is/image/MCY/15882915 </v>
      </c>
    </row>
    <row r="226" spans="1:12" ht="24.75" x14ac:dyDescent="0.25">
      <c r="A226" s="6" t="s">
        <v>4226</v>
      </c>
      <c r="B226" s="3" t="s">
        <v>4172</v>
      </c>
      <c r="C226" s="4">
        <v>1</v>
      </c>
      <c r="D226" s="5">
        <v>28</v>
      </c>
      <c r="E226" s="4">
        <v>87594611</v>
      </c>
      <c r="F226" s="3" t="s">
        <v>5661</v>
      </c>
      <c r="G226" s="7" t="s">
        <v>5898</v>
      </c>
      <c r="H226" s="3" t="s">
        <v>6280</v>
      </c>
      <c r="I226" s="3" t="s">
        <v>6281</v>
      </c>
      <c r="J226" s="3" t="s">
        <v>5536</v>
      </c>
      <c r="K226" s="3" t="s">
        <v>6295</v>
      </c>
      <c r="L226" s="8" t="str">
        <f>HYPERLINK("http://slimages.macys.com/is/image/MCY/15883965 ")</f>
        <v xml:space="preserve">http://slimages.macys.com/is/image/MCY/15883965 </v>
      </c>
    </row>
    <row r="227" spans="1:12" ht="24.75" x14ac:dyDescent="0.25">
      <c r="A227" s="6" t="s">
        <v>4219</v>
      </c>
      <c r="B227" s="3" t="s">
        <v>4172</v>
      </c>
      <c r="C227" s="4">
        <v>2</v>
      </c>
      <c r="D227" s="5">
        <v>56</v>
      </c>
      <c r="E227" s="4">
        <v>87594611</v>
      </c>
      <c r="F227" s="3" t="s">
        <v>5754</v>
      </c>
      <c r="G227" s="7" t="s">
        <v>5898</v>
      </c>
      <c r="H227" s="3" t="s">
        <v>6280</v>
      </c>
      <c r="I227" s="3" t="s">
        <v>6281</v>
      </c>
      <c r="J227" s="3" t="s">
        <v>5536</v>
      </c>
      <c r="K227" s="3" t="s">
        <v>6295</v>
      </c>
      <c r="L227" s="8" t="str">
        <f>HYPERLINK("http://slimages.macys.com/is/image/MCY/15883965 ")</f>
        <v xml:space="preserve">http://slimages.macys.com/is/image/MCY/15883965 </v>
      </c>
    </row>
    <row r="228" spans="1:12" ht="24.75" x14ac:dyDescent="0.25">
      <c r="A228" s="6" t="s">
        <v>6301</v>
      </c>
      <c r="B228" s="3" t="s">
        <v>6302</v>
      </c>
      <c r="C228" s="4">
        <v>2</v>
      </c>
      <c r="D228" s="5">
        <v>56</v>
      </c>
      <c r="E228" s="4">
        <v>87983601</v>
      </c>
      <c r="F228" s="3" t="s">
        <v>5661</v>
      </c>
      <c r="G228" s="7" t="s">
        <v>5898</v>
      </c>
      <c r="H228" s="3" t="s">
        <v>6280</v>
      </c>
      <c r="I228" s="3" t="s">
        <v>6281</v>
      </c>
      <c r="J228" s="3" t="s">
        <v>5536</v>
      </c>
      <c r="K228" s="3" t="s">
        <v>6303</v>
      </c>
      <c r="L228" s="8" t="str">
        <f>HYPERLINK("http://slimages.macys.com/is/image/MCY/13907166 ")</f>
        <v xml:space="preserve">http://slimages.macys.com/is/image/MCY/13907166 </v>
      </c>
    </row>
    <row r="229" spans="1:12" ht="24.75" x14ac:dyDescent="0.25">
      <c r="A229" s="6" t="s">
        <v>3766</v>
      </c>
      <c r="B229" s="3" t="s">
        <v>6347</v>
      </c>
      <c r="C229" s="4">
        <v>2</v>
      </c>
      <c r="D229" s="5">
        <v>56</v>
      </c>
      <c r="E229" s="4">
        <v>87994409</v>
      </c>
      <c r="F229" s="3" t="s">
        <v>5815</v>
      </c>
      <c r="G229" s="7" t="s">
        <v>5898</v>
      </c>
      <c r="H229" s="3" t="s">
        <v>6280</v>
      </c>
      <c r="I229" s="3" t="s">
        <v>6281</v>
      </c>
      <c r="J229" s="3" t="s">
        <v>5536</v>
      </c>
      <c r="K229" s="3" t="s">
        <v>6332</v>
      </c>
      <c r="L229" s="8" t="str">
        <f>HYPERLINK("http://slimages.macys.com/is/image/MCY/15147571 ")</f>
        <v xml:space="preserve">http://slimages.macys.com/is/image/MCY/15147571 </v>
      </c>
    </row>
    <row r="230" spans="1:12" ht="24.75" x14ac:dyDescent="0.25">
      <c r="A230" s="6" t="s">
        <v>5030</v>
      </c>
      <c r="B230" s="3" t="s">
        <v>6381</v>
      </c>
      <c r="C230" s="4">
        <v>1</v>
      </c>
      <c r="D230" s="5">
        <v>28</v>
      </c>
      <c r="E230" s="4" t="s">
        <v>6382</v>
      </c>
      <c r="F230" s="3" t="s">
        <v>5566</v>
      </c>
      <c r="G230" s="7" t="s">
        <v>5898</v>
      </c>
      <c r="H230" s="3" t="s">
        <v>6280</v>
      </c>
      <c r="I230" s="3" t="s">
        <v>6288</v>
      </c>
      <c r="J230" s="3" t="s">
        <v>5536</v>
      </c>
      <c r="K230" s="3" t="s">
        <v>6295</v>
      </c>
      <c r="L230" s="8" t="str">
        <f>HYPERLINK("http://slimages.macys.com/is/image/MCY/14501691 ")</f>
        <v xml:space="preserve">http://slimages.macys.com/is/image/MCY/14501691 </v>
      </c>
    </row>
    <row r="231" spans="1:12" ht="24.75" x14ac:dyDescent="0.25">
      <c r="A231" s="6" t="s">
        <v>3767</v>
      </c>
      <c r="B231" s="3" t="s">
        <v>6330</v>
      </c>
      <c r="C231" s="4">
        <v>3</v>
      </c>
      <c r="D231" s="5">
        <v>84</v>
      </c>
      <c r="E231" s="4" t="s">
        <v>6331</v>
      </c>
      <c r="F231" s="3" t="s">
        <v>5803</v>
      </c>
      <c r="G231" s="7" t="s">
        <v>5898</v>
      </c>
      <c r="H231" s="3" t="s">
        <v>6280</v>
      </c>
      <c r="I231" s="3" t="s">
        <v>6288</v>
      </c>
      <c r="J231" s="3" t="s">
        <v>5536</v>
      </c>
      <c r="K231" s="3" t="s">
        <v>6332</v>
      </c>
      <c r="L231" s="8" t="str">
        <f>HYPERLINK("http://slimages.macys.com/is/image/MCY/14573428 ")</f>
        <v xml:space="preserve">http://slimages.macys.com/is/image/MCY/14573428 </v>
      </c>
    </row>
    <row r="232" spans="1:12" ht="24.75" x14ac:dyDescent="0.25">
      <c r="A232" s="6" t="s">
        <v>3768</v>
      </c>
      <c r="B232" s="3" t="s">
        <v>6344</v>
      </c>
      <c r="C232" s="4">
        <v>3</v>
      </c>
      <c r="D232" s="5">
        <v>84</v>
      </c>
      <c r="E232" s="4">
        <v>87993501</v>
      </c>
      <c r="F232" s="3" t="s">
        <v>5552</v>
      </c>
      <c r="G232" s="7" t="s">
        <v>5898</v>
      </c>
      <c r="H232" s="3" t="s">
        <v>6280</v>
      </c>
      <c r="I232" s="3" t="s">
        <v>6281</v>
      </c>
      <c r="J232" s="3" t="s">
        <v>5536</v>
      </c>
      <c r="K232" s="3" t="s">
        <v>6338</v>
      </c>
      <c r="L232" s="8" t="str">
        <f>HYPERLINK("http://slimages.macys.com/is/image/MCY/13909913 ")</f>
        <v xml:space="preserve">http://slimages.macys.com/is/image/MCY/13909913 </v>
      </c>
    </row>
    <row r="233" spans="1:12" ht="24.75" x14ac:dyDescent="0.25">
      <c r="A233" s="6" t="s">
        <v>5031</v>
      </c>
      <c r="B233" s="3" t="s">
        <v>6341</v>
      </c>
      <c r="C233" s="4">
        <v>2</v>
      </c>
      <c r="D233" s="5">
        <v>56</v>
      </c>
      <c r="E233" s="4">
        <v>87994201</v>
      </c>
      <c r="F233" s="3" t="s">
        <v>5815</v>
      </c>
      <c r="G233" s="7" t="s">
        <v>5898</v>
      </c>
      <c r="H233" s="3" t="s">
        <v>6280</v>
      </c>
      <c r="I233" s="3" t="s">
        <v>6281</v>
      </c>
      <c r="J233" s="3" t="s">
        <v>5536</v>
      </c>
      <c r="K233" s="3" t="s">
        <v>6342</v>
      </c>
      <c r="L233" s="8" t="str">
        <f>HYPERLINK("http://slimages.macys.com/is/image/MCY/15147424 ")</f>
        <v xml:space="preserve">http://slimages.macys.com/is/image/MCY/15147424 </v>
      </c>
    </row>
    <row r="234" spans="1:12" ht="24.75" x14ac:dyDescent="0.25">
      <c r="A234" s="6" t="s">
        <v>3769</v>
      </c>
      <c r="B234" s="3" t="s">
        <v>3770</v>
      </c>
      <c r="C234" s="4">
        <v>1</v>
      </c>
      <c r="D234" s="5">
        <v>28</v>
      </c>
      <c r="E234" s="4">
        <v>87984401</v>
      </c>
      <c r="F234" s="3" t="s">
        <v>5754</v>
      </c>
      <c r="G234" s="7" t="s">
        <v>5898</v>
      </c>
      <c r="H234" s="3" t="s">
        <v>6280</v>
      </c>
      <c r="I234" s="3" t="s">
        <v>6281</v>
      </c>
      <c r="J234" s="3" t="s">
        <v>5536</v>
      </c>
      <c r="K234" s="3" t="s">
        <v>6303</v>
      </c>
      <c r="L234" s="8" t="str">
        <f>HYPERLINK("http://slimages.macys.com/is/image/MCY/15298771 ")</f>
        <v xml:space="preserve">http://slimages.macys.com/is/image/MCY/15298771 </v>
      </c>
    </row>
    <row r="235" spans="1:12" ht="24.75" x14ac:dyDescent="0.25">
      <c r="A235" s="6" t="s">
        <v>3771</v>
      </c>
      <c r="B235" s="3" t="s">
        <v>6381</v>
      </c>
      <c r="C235" s="4">
        <v>2</v>
      </c>
      <c r="D235" s="5">
        <v>56</v>
      </c>
      <c r="E235" s="4" t="s">
        <v>6382</v>
      </c>
      <c r="F235" s="3" t="s">
        <v>5610</v>
      </c>
      <c r="G235" s="7" t="s">
        <v>5898</v>
      </c>
      <c r="H235" s="3" t="s">
        <v>6280</v>
      </c>
      <c r="I235" s="3" t="s">
        <v>6288</v>
      </c>
      <c r="J235" s="3" t="s">
        <v>5536</v>
      </c>
      <c r="K235" s="3" t="s">
        <v>6295</v>
      </c>
      <c r="L235" s="8" t="str">
        <f>HYPERLINK("http://slimages.macys.com/is/image/MCY/14501689 ")</f>
        <v xml:space="preserve">http://slimages.macys.com/is/image/MCY/14501689 </v>
      </c>
    </row>
    <row r="236" spans="1:12" ht="24.75" x14ac:dyDescent="0.25">
      <c r="A236" s="6" t="s">
        <v>3772</v>
      </c>
      <c r="B236" s="3" t="s">
        <v>3773</v>
      </c>
      <c r="C236" s="4">
        <v>1</v>
      </c>
      <c r="D236" s="5">
        <v>28</v>
      </c>
      <c r="E236" s="4">
        <v>87994408</v>
      </c>
      <c r="F236" s="3" t="s">
        <v>5815</v>
      </c>
      <c r="G236" s="7" t="s">
        <v>5898</v>
      </c>
      <c r="H236" s="3" t="s">
        <v>6280</v>
      </c>
      <c r="I236" s="3" t="s">
        <v>6281</v>
      </c>
      <c r="J236" s="3" t="s">
        <v>5536</v>
      </c>
      <c r="K236" s="3" t="s">
        <v>6332</v>
      </c>
      <c r="L236" s="8" t="str">
        <f>HYPERLINK("http://slimages.macys.com/is/image/MCY/15147533 ")</f>
        <v xml:space="preserve">http://slimages.macys.com/is/image/MCY/15147533 </v>
      </c>
    </row>
    <row r="237" spans="1:12" ht="24.75" x14ac:dyDescent="0.25">
      <c r="A237" s="6" t="s">
        <v>3774</v>
      </c>
      <c r="B237" s="3" t="s">
        <v>3773</v>
      </c>
      <c r="C237" s="4">
        <v>2</v>
      </c>
      <c r="D237" s="5">
        <v>56</v>
      </c>
      <c r="E237" s="4">
        <v>87994408</v>
      </c>
      <c r="F237" s="3" t="s">
        <v>5661</v>
      </c>
      <c r="G237" s="7" t="s">
        <v>5898</v>
      </c>
      <c r="H237" s="3" t="s">
        <v>6280</v>
      </c>
      <c r="I237" s="3" t="s">
        <v>6281</v>
      </c>
      <c r="J237" s="3" t="s">
        <v>5536</v>
      </c>
      <c r="K237" s="3" t="s">
        <v>6332</v>
      </c>
      <c r="L237" s="8" t="str">
        <f>HYPERLINK("http://slimages.macys.com/is/image/MCY/15147533 ")</f>
        <v xml:space="preserve">http://slimages.macys.com/is/image/MCY/15147533 </v>
      </c>
    </row>
    <row r="238" spans="1:12" ht="24.75" x14ac:dyDescent="0.25">
      <c r="A238" s="6" t="s">
        <v>6329</v>
      </c>
      <c r="B238" s="3" t="s">
        <v>6330</v>
      </c>
      <c r="C238" s="4">
        <v>2</v>
      </c>
      <c r="D238" s="5">
        <v>56</v>
      </c>
      <c r="E238" s="4" t="s">
        <v>6331</v>
      </c>
      <c r="F238" s="3" t="s">
        <v>6010</v>
      </c>
      <c r="G238" s="7" t="s">
        <v>5898</v>
      </c>
      <c r="H238" s="3" t="s">
        <v>6280</v>
      </c>
      <c r="I238" s="3" t="s">
        <v>6288</v>
      </c>
      <c r="J238" s="3" t="s">
        <v>5536</v>
      </c>
      <c r="K238" s="3" t="s">
        <v>6332</v>
      </c>
      <c r="L238" s="8" t="str">
        <f>HYPERLINK("http://slimages.macys.com/is/image/MCY/14573428 ")</f>
        <v xml:space="preserve">http://slimages.macys.com/is/image/MCY/14573428 </v>
      </c>
    </row>
    <row r="239" spans="1:12" ht="24.75" x14ac:dyDescent="0.25">
      <c r="A239" s="6" t="s">
        <v>3775</v>
      </c>
      <c r="B239" s="3" t="s">
        <v>6286</v>
      </c>
      <c r="C239" s="4">
        <v>2</v>
      </c>
      <c r="D239" s="5">
        <v>56</v>
      </c>
      <c r="E239" s="4" t="s">
        <v>6287</v>
      </c>
      <c r="F239" s="3" t="s">
        <v>5754</v>
      </c>
      <c r="G239" s="7" t="s">
        <v>5898</v>
      </c>
      <c r="H239" s="3" t="s">
        <v>6280</v>
      </c>
      <c r="I239" s="3" t="s">
        <v>6288</v>
      </c>
      <c r="J239" s="3" t="s">
        <v>5536</v>
      </c>
      <c r="K239" s="3" t="s">
        <v>6289</v>
      </c>
      <c r="L239" s="8" t="str">
        <f>HYPERLINK("http://slimages.macys.com/is/image/MCY/15604747 ")</f>
        <v xml:space="preserve">http://slimages.macys.com/is/image/MCY/15604747 </v>
      </c>
    </row>
    <row r="240" spans="1:12" ht="24.75" x14ac:dyDescent="0.25">
      <c r="A240" s="6" t="s">
        <v>3776</v>
      </c>
      <c r="B240" s="3" t="s">
        <v>3777</v>
      </c>
      <c r="C240" s="4">
        <v>1</v>
      </c>
      <c r="D240" s="5">
        <v>28</v>
      </c>
      <c r="E240" s="4">
        <v>87994617</v>
      </c>
      <c r="F240" s="3" t="s">
        <v>5552</v>
      </c>
      <c r="G240" s="7" t="s">
        <v>5898</v>
      </c>
      <c r="H240" s="3" t="s">
        <v>6280</v>
      </c>
      <c r="I240" s="3" t="s">
        <v>6281</v>
      </c>
      <c r="J240" s="3" t="s">
        <v>5536</v>
      </c>
      <c r="K240" s="3" t="s">
        <v>6295</v>
      </c>
      <c r="L240" s="8" t="str">
        <f>HYPERLINK("http://slimages.macys.com/is/image/MCY/14312321 ")</f>
        <v xml:space="preserve">http://slimages.macys.com/is/image/MCY/14312321 </v>
      </c>
    </row>
    <row r="241" spans="1:12" ht="24.75" x14ac:dyDescent="0.25">
      <c r="A241" s="6" t="s">
        <v>3778</v>
      </c>
      <c r="B241" s="3" t="s">
        <v>6286</v>
      </c>
      <c r="C241" s="4">
        <v>3</v>
      </c>
      <c r="D241" s="5">
        <v>84</v>
      </c>
      <c r="E241" s="4" t="s">
        <v>6287</v>
      </c>
      <c r="F241" s="3" t="s">
        <v>5532</v>
      </c>
      <c r="G241" s="7" t="s">
        <v>5898</v>
      </c>
      <c r="H241" s="3" t="s">
        <v>6280</v>
      </c>
      <c r="I241" s="3" t="s">
        <v>6288</v>
      </c>
      <c r="J241" s="3" t="s">
        <v>5536</v>
      </c>
      <c r="K241" s="3" t="s">
        <v>6289</v>
      </c>
      <c r="L241" s="8" t="str">
        <f>HYPERLINK("http://slimages.macys.com/is/image/MCY/15604747 ")</f>
        <v xml:space="preserve">http://slimages.macys.com/is/image/MCY/15604747 </v>
      </c>
    </row>
    <row r="242" spans="1:12" ht="24.75" x14ac:dyDescent="0.25">
      <c r="A242" s="6" t="s">
        <v>4183</v>
      </c>
      <c r="B242" s="3" t="s">
        <v>6283</v>
      </c>
      <c r="C242" s="4">
        <v>1</v>
      </c>
      <c r="D242" s="5">
        <v>28</v>
      </c>
      <c r="E242" s="4">
        <v>81994507</v>
      </c>
      <c r="F242" s="3" t="s">
        <v>5625</v>
      </c>
      <c r="G242" s="7" t="s">
        <v>5898</v>
      </c>
      <c r="H242" s="3" t="s">
        <v>6280</v>
      </c>
      <c r="I242" s="3" t="s">
        <v>6281</v>
      </c>
      <c r="J242" s="3" t="s">
        <v>5536</v>
      </c>
      <c r="K242" s="3" t="s">
        <v>6284</v>
      </c>
      <c r="L242" s="8" t="str">
        <f>HYPERLINK("http://slimages.macys.com/is/image/MCY/15882899 ")</f>
        <v xml:space="preserve">http://slimages.macys.com/is/image/MCY/15882899 </v>
      </c>
    </row>
    <row r="243" spans="1:12" ht="24.75" x14ac:dyDescent="0.25">
      <c r="A243" s="6" t="s">
        <v>4220</v>
      </c>
      <c r="B243" s="3" t="s">
        <v>6315</v>
      </c>
      <c r="C243" s="4">
        <v>1</v>
      </c>
      <c r="D243" s="5">
        <v>28</v>
      </c>
      <c r="E243" s="4">
        <v>87994301</v>
      </c>
      <c r="F243" s="3" t="s">
        <v>6983</v>
      </c>
      <c r="G243" s="7" t="s">
        <v>5898</v>
      </c>
      <c r="H243" s="3" t="s">
        <v>6280</v>
      </c>
      <c r="I243" s="3" t="s">
        <v>6281</v>
      </c>
      <c r="J243" s="3" t="s">
        <v>5536</v>
      </c>
      <c r="K243" s="3" t="s">
        <v>6316</v>
      </c>
      <c r="L243" s="8" t="str">
        <f>HYPERLINK("http://slimages.macys.com/is/image/MCY/15883995 ")</f>
        <v xml:space="preserve">http://slimages.macys.com/is/image/MCY/15883995 </v>
      </c>
    </row>
    <row r="244" spans="1:12" ht="24.75" x14ac:dyDescent="0.25">
      <c r="A244" s="6" t="s">
        <v>6340</v>
      </c>
      <c r="B244" s="3" t="s">
        <v>6341</v>
      </c>
      <c r="C244" s="4">
        <v>1</v>
      </c>
      <c r="D244" s="5">
        <v>28</v>
      </c>
      <c r="E244" s="4">
        <v>87994201</v>
      </c>
      <c r="F244" s="3" t="s">
        <v>5661</v>
      </c>
      <c r="G244" s="7" t="s">
        <v>5898</v>
      </c>
      <c r="H244" s="3" t="s">
        <v>6280</v>
      </c>
      <c r="I244" s="3" t="s">
        <v>6281</v>
      </c>
      <c r="J244" s="3" t="s">
        <v>5536</v>
      </c>
      <c r="K244" s="3" t="s">
        <v>6342</v>
      </c>
      <c r="L244" s="8" t="str">
        <f>HYPERLINK("http://slimages.macys.com/is/image/MCY/15147424 ")</f>
        <v xml:space="preserve">http://slimages.macys.com/is/image/MCY/15147424 </v>
      </c>
    </row>
    <row r="245" spans="1:12" ht="24.75" x14ac:dyDescent="0.25">
      <c r="A245" s="6" t="s">
        <v>3779</v>
      </c>
      <c r="B245" s="3" t="s">
        <v>6399</v>
      </c>
      <c r="C245" s="4">
        <v>1</v>
      </c>
      <c r="D245" s="5">
        <v>28</v>
      </c>
      <c r="E245" s="4">
        <v>87984601</v>
      </c>
      <c r="F245" s="3" t="s">
        <v>5754</v>
      </c>
      <c r="G245" s="7" t="s">
        <v>5898</v>
      </c>
      <c r="H245" s="3" t="s">
        <v>6280</v>
      </c>
      <c r="I245" s="3" t="s">
        <v>6281</v>
      </c>
      <c r="J245" s="3" t="s">
        <v>5536</v>
      </c>
      <c r="K245" s="3" t="s">
        <v>6303</v>
      </c>
      <c r="L245" s="8" t="str">
        <f>HYPERLINK("http://slimages.macys.com/is/image/MCY/11251126 ")</f>
        <v xml:space="preserve">http://slimages.macys.com/is/image/MCY/11251126 </v>
      </c>
    </row>
    <row r="246" spans="1:12" ht="24.75" x14ac:dyDescent="0.25">
      <c r="A246" s="6" t="s">
        <v>3780</v>
      </c>
      <c r="B246" s="3" t="s">
        <v>3781</v>
      </c>
      <c r="C246" s="4">
        <v>1</v>
      </c>
      <c r="D246" s="5">
        <v>28</v>
      </c>
      <c r="E246" s="4" t="s">
        <v>3782</v>
      </c>
      <c r="F246" s="3" t="s">
        <v>6335</v>
      </c>
      <c r="G246" s="7" t="s">
        <v>5898</v>
      </c>
      <c r="H246" s="3" t="s">
        <v>6280</v>
      </c>
      <c r="I246" s="3" t="s">
        <v>6288</v>
      </c>
      <c r="J246" s="3" t="s">
        <v>5536</v>
      </c>
      <c r="K246" s="3" t="s">
        <v>6316</v>
      </c>
      <c r="L246" s="8" t="str">
        <f>HYPERLINK("http://slimages.macys.com/is/image/MCY/10453301 ")</f>
        <v xml:space="preserve">http://slimages.macys.com/is/image/MCY/10453301 </v>
      </c>
    </row>
    <row r="247" spans="1:12" ht="24.75" x14ac:dyDescent="0.25">
      <c r="A247" s="6" t="s">
        <v>3783</v>
      </c>
      <c r="B247" s="3" t="s">
        <v>3784</v>
      </c>
      <c r="C247" s="4">
        <v>1</v>
      </c>
      <c r="D247" s="5">
        <v>28</v>
      </c>
      <c r="E247" s="4">
        <v>87593604</v>
      </c>
      <c r="F247" s="3" t="s">
        <v>5754</v>
      </c>
      <c r="G247" s="7" t="s">
        <v>5898</v>
      </c>
      <c r="H247" s="3" t="s">
        <v>6280</v>
      </c>
      <c r="I247" s="3" t="s">
        <v>6281</v>
      </c>
      <c r="J247" s="3" t="s">
        <v>5536</v>
      </c>
      <c r="K247" s="3" t="s">
        <v>6303</v>
      </c>
      <c r="L247" s="8" t="str">
        <f>HYPERLINK("http://slimages.macys.com/is/image/MCY/14377999 ")</f>
        <v xml:space="preserve">http://slimages.macys.com/is/image/MCY/14377999 </v>
      </c>
    </row>
    <row r="248" spans="1:12" ht="24.75" x14ac:dyDescent="0.25">
      <c r="A248" s="6" t="s">
        <v>3785</v>
      </c>
      <c r="B248" s="3" t="s">
        <v>3786</v>
      </c>
      <c r="C248" s="4">
        <v>1</v>
      </c>
      <c r="D248" s="5">
        <v>33.75</v>
      </c>
      <c r="E248" s="4" t="s">
        <v>3787</v>
      </c>
      <c r="F248" s="3" t="s">
        <v>5540</v>
      </c>
      <c r="G248" s="7" t="s">
        <v>5898</v>
      </c>
      <c r="H248" s="3" t="s">
        <v>6280</v>
      </c>
      <c r="I248" s="3" t="s">
        <v>6288</v>
      </c>
      <c r="J248" s="3" t="s">
        <v>5536</v>
      </c>
      <c r="K248" s="3" t="s">
        <v>6303</v>
      </c>
      <c r="L248" s="8" t="str">
        <f>HYPERLINK("http://slimages.macys.com/is/image/MCY/8677147 ")</f>
        <v xml:space="preserve">http://slimages.macys.com/is/image/MCY/8677147 </v>
      </c>
    </row>
    <row r="249" spans="1:12" ht="24.75" x14ac:dyDescent="0.25">
      <c r="A249" s="6" t="s">
        <v>3788</v>
      </c>
      <c r="B249" s="3" t="s">
        <v>6381</v>
      </c>
      <c r="C249" s="4">
        <v>1</v>
      </c>
      <c r="D249" s="5">
        <v>28</v>
      </c>
      <c r="E249" s="4" t="s">
        <v>6382</v>
      </c>
      <c r="F249" s="3" t="s">
        <v>5793</v>
      </c>
      <c r="G249" s="7" t="s">
        <v>5898</v>
      </c>
      <c r="H249" s="3" t="s">
        <v>6280</v>
      </c>
      <c r="I249" s="3" t="s">
        <v>6288</v>
      </c>
      <c r="J249" s="3" t="s">
        <v>5536</v>
      </c>
      <c r="K249" s="3" t="s">
        <v>6295</v>
      </c>
      <c r="L249" s="8" t="str">
        <f>HYPERLINK("http://slimages.macys.com/is/image/MCY/14501689 ")</f>
        <v xml:space="preserve">http://slimages.macys.com/is/image/MCY/14501689 </v>
      </c>
    </row>
    <row r="250" spans="1:12" ht="24.75" x14ac:dyDescent="0.25">
      <c r="A250" s="6" t="s">
        <v>3789</v>
      </c>
      <c r="B250" s="3" t="s">
        <v>6367</v>
      </c>
      <c r="C250" s="4">
        <v>1</v>
      </c>
      <c r="D250" s="5">
        <v>28</v>
      </c>
      <c r="E250" s="4" t="s">
        <v>6368</v>
      </c>
      <c r="F250" s="3" t="s">
        <v>5661</v>
      </c>
      <c r="G250" s="7" t="s">
        <v>5898</v>
      </c>
      <c r="H250" s="3" t="s">
        <v>6280</v>
      </c>
      <c r="I250" s="3" t="s">
        <v>6288</v>
      </c>
      <c r="J250" s="3" t="s">
        <v>5536</v>
      </c>
      <c r="K250" s="3" t="s">
        <v>6295</v>
      </c>
      <c r="L250" s="8" t="str">
        <f>HYPERLINK("http://slimages.macys.com/is/image/MCY/16189774 ")</f>
        <v xml:space="preserve">http://slimages.macys.com/is/image/MCY/16189774 </v>
      </c>
    </row>
    <row r="251" spans="1:12" ht="24.75" x14ac:dyDescent="0.25">
      <c r="A251" s="6" t="s">
        <v>3790</v>
      </c>
      <c r="B251" s="3" t="s">
        <v>6378</v>
      </c>
      <c r="C251" s="4">
        <v>1</v>
      </c>
      <c r="D251" s="5">
        <v>28</v>
      </c>
      <c r="E251" s="4" t="s">
        <v>6379</v>
      </c>
      <c r="F251" s="3" t="s">
        <v>6335</v>
      </c>
      <c r="G251" s="7" t="s">
        <v>5898</v>
      </c>
      <c r="H251" s="3" t="s">
        <v>6280</v>
      </c>
      <c r="I251" s="3" t="s">
        <v>6288</v>
      </c>
      <c r="J251" s="3" t="s">
        <v>5536</v>
      </c>
      <c r="K251" s="3" t="s">
        <v>6295</v>
      </c>
      <c r="L251" s="8" t="str">
        <f>HYPERLINK("http://slimages.macys.com/is/image/MCY/15883244 ")</f>
        <v xml:space="preserve">http://slimages.macys.com/is/image/MCY/15883244 </v>
      </c>
    </row>
    <row r="252" spans="1:12" ht="24.75" x14ac:dyDescent="0.25">
      <c r="A252" s="6" t="s">
        <v>3791</v>
      </c>
      <c r="B252" s="3" t="s">
        <v>6359</v>
      </c>
      <c r="C252" s="4">
        <v>1</v>
      </c>
      <c r="D252" s="5">
        <v>28</v>
      </c>
      <c r="E252" s="4" t="s">
        <v>6360</v>
      </c>
      <c r="F252" s="3" t="s">
        <v>6335</v>
      </c>
      <c r="G252" s="7" t="s">
        <v>5898</v>
      </c>
      <c r="H252" s="3" t="s">
        <v>6280</v>
      </c>
      <c r="I252" s="3" t="s">
        <v>6288</v>
      </c>
      <c r="J252" s="3" t="s">
        <v>5536</v>
      </c>
      <c r="K252" s="3" t="s">
        <v>6295</v>
      </c>
      <c r="L252" s="8" t="str">
        <f>HYPERLINK("http://slimages.macys.com/is/image/MCY/15918338 ")</f>
        <v xml:space="preserve">http://slimages.macys.com/is/image/MCY/15918338 </v>
      </c>
    </row>
    <row r="253" spans="1:12" ht="24.75" x14ac:dyDescent="0.25">
      <c r="A253" s="6" t="s">
        <v>6328</v>
      </c>
      <c r="B253" s="3" t="s">
        <v>6279</v>
      </c>
      <c r="C253" s="4">
        <v>1</v>
      </c>
      <c r="D253" s="5">
        <v>28</v>
      </c>
      <c r="E253" s="4">
        <v>87594201</v>
      </c>
      <c r="F253" s="3" t="s">
        <v>5754</v>
      </c>
      <c r="G253" s="7" t="s">
        <v>5898</v>
      </c>
      <c r="H253" s="3" t="s">
        <v>6280</v>
      </c>
      <c r="I253" s="3" t="s">
        <v>6281</v>
      </c>
      <c r="J253" s="3" t="s">
        <v>5536</v>
      </c>
      <c r="K253" s="3" t="s">
        <v>5549</v>
      </c>
      <c r="L253" s="8" t="str">
        <f>HYPERLINK("http://slimages.macys.com/is/image/MCY/15882915 ")</f>
        <v xml:space="preserve">http://slimages.macys.com/is/image/MCY/15882915 </v>
      </c>
    </row>
    <row r="254" spans="1:12" ht="24.75" x14ac:dyDescent="0.25">
      <c r="A254" s="6" t="s">
        <v>6333</v>
      </c>
      <c r="B254" s="3" t="s">
        <v>6334</v>
      </c>
      <c r="C254" s="4">
        <v>1</v>
      </c>
      <c r="D254" s="5">
        <v>28</v>
      </c>
      <c r="E254" s="4">
        <v>87984602</v>
      </c>
      <c r="F254" s="3" t="s">
        <v>6335</v>
      </c>
      <c r="G254" s="7" t="s">
        <v>5898</v>
      </c>
      <c r="H254" s="3" t="s">
        <v>6280</v>
      </c>
      <c r="I254" s="3" t="s">
        <v>6281</v>
      </c>
      <c r="J254" s="3" t="s">
        <v>5536</v>
      </c>
      <c r="K254" s="3" t="s">
        <v>6295</v>
      </c>
      <c r="L254" s="8" t="str">
        <f>HYPERLINK("http://slimages.macys.com/is/image/MCY/11952913 ")</f>
        <v xml:space="preserve">http://slimages.macys.com/is/image/MCY/11952913 </v>
      </c>
    </row>
    <row r="255" spans="1:12" ht="24.75" x14ac:dyDescent="0.25">
      <c r="A255" s="6" t="s">
        <v>3792</v>
      </c>
      <c r="B255" s="3" t="s">
        <v>3793</v>
      </c>
      <c r="C255" s="4">
        <v>1</v>
      </c>
      <c r="D255" s="5">
        <v>28</v>
      </c>
      <c r="E255" s="4" t="s">
        <v>3794</v>
      </c>
      <c r="F255" s="3" t="s">
        <v>5661</v>
      </c>
      <c r="G255" s="7" t="s">
        <v>5898</v>
      </c>
      <c r="H255" s="3" t="s">
        <v>6280</v>
      </c>
      <c r="I255" s="3" t="s">
        <v>6288</v>
      </c>
      <c r="J255" s="3" t="s">
        <v>5536</v>
      </c>
      <c r="K255" s="3" t="s">
        <v>6342</v>
      </c>
      <c r="L255" s="8" t="str">
        <f>HYPERLINK("http://slimages.macys.com/is/image/MCY/15883270 ")</f>
        <v xml:space="preserve">http://slimages.macys.com/is/image/MCY/15883270 </v>
      </c>
    </row>
    <row r="256" spans="1:12" ht="24.75" x14ac:dyDescent="0.25">
      <c r="A256" s="6" t="s">
        <v>6377</v>
      </c>
      <c r="B256" s="3" t="s">
        <v>6378</v>
      </c>
      <c r="C256" s="4">
        <v>1</v>
      </c>
      <c r="D256" s="5">
        <v>28</v>
      </c>
      <c r="E256" s="4" t="s">
        <v>6379</v>
      </c>
      <c r="F256" s="3" t="s">
        <v>5532</v>
      </c>
      <c r="G256" s="7" t="s">
        <v>5898</v>
      </c>
      <c r="H256" s="3" t="s">
        <v>6280</v>
      </c>
      <c r="I256" s="3" t="s">
        <v>6288</v>
      </c>
      <c r="J256" s="3" t="s">
        <v>5536</v>
      </c>
      <c r="K256" s="3" t="s">
        <v>6295</v>
      </c>
      <c r="L256" s="8" t="str">
        <f>HYPERLINK("http://slimages.macys.com/is/image/MCY/15883244 ")</f>
        <v xml:space="preserve">http://slimages.macys.com/is/image/MCY/15883244 </v>
      </c>
    </row>
    <row r="257" spans="1:12" ht="24.75" x14ac:dyDescent="0.25">
      <c r="A257" s="6" t="s">
        <v>3795</v>
      </c>
      <c r="B257" s="3" t="s">
        <v>3796</v>
      </c>
      <c r="C257" s="4">
        <v>1</v>
      </c>
      <c r="D257" s="5">
        <v>28</v>
      </c>
      <c r="E257" s="4" t="s">
        <v>3797</v>
      </c>
      <c r="F257" s="3" t="s">
        <v>5661</v>
      </c>
      <c r="G257" s="7" t="s">
        <v>5898</v>
      </c>
      <c r="H257" s="3" t="s">
        <v>6280</v>
      </c>
      <c r="I257" s="3" t="s">
        <v>6288</v>
      </c>
      <c r="J257" s="3" t="s">
        <v>5536</v>
      </c>
      <c r="K257" s="3" t="s">
        <v>3798</v>
      </c>
      <c r="L257" s="8" t="str">
        <f>HYPERLINK("http://slimages.macys.com/is/image/MCY/15920122 ")</f>
        <v xml:space="preserve">http://slimages.macys.com/is/image/MCY/15920122 </v>
      </c>
    </row>
    <row r="258" spans="1:12" ht="24.75" x14ac:dyDescent="0.25">
      <c r="A258" s="6" t="s">
        <v>4182</v>
      </c>
      <c r="B258" s="3" t="s">
        <v>6315</v>
      </c>
      <c r="C258" s="4">
        <v>1</v>
      </c>
      <c r="D258" s="5">
        <v>28</v>
      </c>
      <c r="E258" s="4">
        <v>87994301</v>
      </c>
      <c r="F258" s="3" t="s">
        <v>5552</v>
      </c>
      <c r="G258" s="7" t="s">
        <v>5898</v>
      </c>
      <c r="H258" s="3" t="s">
        <v>6280</v>
      </c>
      <c r="I258" s="3" t="s">
        <v>6281</v>
      </c>
      <c r="J258" s="3" t="s">
        <v>5536</v>
      </c>
      <c r="K258" s="3" t="s">
        <v>6316</v>
      </c>
      <c r="L258" s="8" t="str">
        <f>HYPERLINK("http://slimages.macys.com/is/image/MCY/15883995 ")</f>
        <v xml:space="preserve">http://slimages.macys.com/is/image/MCY/15883995 </v>
      </c>
    </row>
    <row r="259" spans="1:12" ht="24.75" x14ac:dyDescent="0.25">
      <c r="A259" s="6" t="s">
        <v>3799</v>
      </c>
      <c r="B259" s="3" t="s">
        <v>3800</v>
      </c>
      <c r="C259" s="4">
        <v>1</v>
      </c>
      <c r="D259" s="5">
        <v>28</v>
      </c>
      <c r="E259" s="4" t="s">
        <v>3801</v>
      </c>
      <c r="F259" s="3" t="s">
        <v>5661</v>
      </c>
      <c r="G259" s="7" t="s">
        <v>5898</v>
      </c>
      <c r="H259" s="3" t="s">
        <v>6280</v>
      </c>
      <c r="I259" s="3" t="s">
        <v>6288</v>
      </c>
      <c r="J259" s="3" t="s">
        <v>5536</v>
      </c>
      <c r="K259" s="3" t="s">
        <v>6338</v>
      </c>
      <c r="L259" s="8" t="str">
        <f>HYPERLINK("http://slimages.macys.com/is/image/MCY/15663858 ")</f>
        <v xml:space="preserve">http://slimages.macys.com/is/image/MCY/15663858 </v>
      </c>
    </row>
    <row r="260" spans="1:12" ht="24.75" x14ac:dyDescent="0.25">
      <c r="A260" s="6" t="s">
        <v>6278</v>
      </c>
      <c r="B260" s="3" t="s">
        <v>6279</v>
      </c>
      <c r="C260" s="4">
        <v>1</v>
      </c>
      <c r="D260" s="5">
        <v>28</v>
      </c>
      <c r="E260" s="4">
        <v>87594201</v>
      </c>
      <c r="F260" s="3" t="s">
        <v>5532</v>
      </c>
      <c r="G260" s="7" t="s">
        <v>5898</v>
      </c>
      <c r="H260" s="3" t="s">
        <v>6280</v>
      </c>
      <c r="I260" s="3" t="s">
        <v>6281</v>
      </c>
      <c r="J260" s="3" t="s">
        <v>5536</v>
      </c>
      <c r="K260" s="3" t="s">
        <v>5549</v>
      </c>
      <c r="L260" s="8" t="str">
        <f>HYPERLINK("http://slimages.macys.com/is/image/MCY/15882915 ")</f>
        <v xml:space="preserve">http://slimages.macys.com/is/image/MCY/15882915 </v>
      </c>
    </row>
    <row r="261" spans="1:12" ht="24.75" x14ac:dyDescent="0.25">
      <c r="A261" s="6" t="s">
        <v>4229</v>
      </c>
      <c r="B261" s="3" t="s">
        <v>6294</v>
      </c>
      <c r="C261" s="4">
        <v>1</v>
      </c>
      <c r="D261" s="5">
        <v>28</v>
      </c>
      <c r="E261" s="4">
        <v>87994402</v>
      </c>
      <c r="F261" s="3" t="s">
        <v>5552</v>
      </c>
      <c r="G261" s="7" t="s">
        <v>5898</v>
      </c>
      <c r="H261" s="3" t="s">
        <v>6280</v>
      </c>
      <c r="I261" s="3" t="s">
        <v>6281</v>
      </c>
      <c r="J261" s="3" t="s">
        <v>5536</v>
      </c>
      <c r="K261" s="3" t="s">
        <v>6295</v>
      </c>
      <c r="L261" s="8" t="str">
        <f>HYPERLINK("http://slimages.macys.com/is/image/MCY/15884038 ")</f>
        <v xml:space="preserve">http://slimages.macys.com/is/image/MCY/15884038 </v>
      </c>
    </row>
    <row r="262" spans="1:12" ht="24.75" x14ac:dyDescent="0.25">
      <c r="A262" s="6" t="s">
        <v>6369</v>
      </c>
      <c r="B262" s="3" t="s">
        <v>6370</v>
      </c>
      <c r="C262" s="4">
        <v>1</v>
      </c>
      <c r="D262" s="5">
        <v>28</v>
      </c>
      <c r="E262" s="4" t="s">
        <v>6371</v>
      </c>
      <c r="F262" s="3" t="s">
        <v>5532</v>
      </c>
      <c r="G262" s="7" t="s">
        <v>5898</v>
      </c>
      <c r="H262" s="3" t="s">
        <v>6280</v>
      </c>
      <c r="I262" s="3" t="s">
        <v>6288</v>
      </c>
      <c r="J262" s="3" t="s">
        <v>5536</v>
      </c>
      <c r="K262" s="3" t="s">
        <v>6372</v>
      </c>
      <c r="L262" s="8" t="str">
        <f>HYPERLINK("http://slimages.macys.com/is/image/MCY/16193240 ")</f>
        <v xml:space="preserve">http://slimages.macys.com/is/image/MCY/16193240 </v>
      </c>
    </row>
    <row r="263" spans="1:12" ht="24.75" x14ac:dyDescent="0.25">
      <c r="A263" s="6" t="s">
        <v>3802</v>
      </c>
      <c r="B263" s="3" t="s">
        <v>3803</v>
      </c>
      <c r="C263" s="4">
        <v>1</v>
      </c>
      <c r="D263" s="5">
        <v>28</v>
      </c>
      <c r="E263" s="4" t="s">
        <v>3804</v>
      </c>
      <c r="F263" s="3" t="s">
        <v>5532</v>
      </c>
      <c r="G263" s="7" t="s">
        <v>5898</v>
      </c>
      <c r="H263" s="3" t="s">
        <v>6280</v>
      </c>
      <c r="I263" s="3" t="s">
        <v>6288</v>
      </c>
      <c r="J263" s="3" t="s">
        <v>5536</v>
      </c>
      <c r="K263" s="3" t="s">
        <v>4224</v>
      </c>
      <c r="L263" s="8" t="str">
        <f>HYPERLINK("http://slimages.macys.com/is/image/MCY/10230672 ")</f>
        <v xml:space="preserve">http://slimages.macys.com/is/image/MCY/10230672 </v>
      </c>
    </row>
    <row r="264" spans="1:12" ht="24.75" x14ac:dyDescent="0.25">
      <c r="A264" s="6" t="s">
        <v>6387</v>
      </c>
      <c r="B264" s="3" t="s">
        <v>6388</v>
      </c>
      <c r="C264" s="4">
        <v>1</v>
      </c>
      <c r="D264" s="5">
        <v>28</v>
      </c>
      <c r="E264" s="4" t="s">
        <v>6389</v>
      </c>
      <c r="F264" s="3" t="s">
        <v>5540</v>
      </c>
      <c r="G264" s="7" t="s">
        <v>5898</v>
      </c>
      <c r="H264" s="3" t="s">
        <v>6280</v>
      </c>
      <c r="I264" s="3" t="s">
        <v>6288</v>
      </c>
      <c r="J264" s="3" t="s">
        <v>5536</v>
      </c>
      <c r="K264" s="3" t="s">
        <v>6390</v>
      </c>
      <c r="L264" s="8" t="str">
        <f>HYPERLINK("http://slimages.macys.com/is/image/MCY/15663294 ")</f>
        <v xml:space="preserve">http://slimages.macys.com/is/image/MCY/15663294 </v>
      </c>
    </row>
    <row r="265" spans="1:12" ht="24.75" x14ac:dyDescent="0.25">
      <c r="A265" s="6" t="s">
        <v>3191</v>
      </c>
      <c r="B265" s="3" t="s">
        <v>6418</v>
      </c>
      <c r="C265" s="4">
        <v>1</v>
      </c>
      <c r="D265" s="5">
        <v>27.99</v>
      </c>
      <c r="E265" s="4" t="s">
        <v>6419</v>
      </c>
      <c r="F265" s="3" t="s">
        <v>5532</v>
      </c>
      <c r="G265" s="7" t="s">
        <v>6252</v>
      </c>
      <c r="H265" s="3" t="s">
        <v>6280</v>
      </c>
      <c r="I265" s="3" t="s">
        <v>6420</v>
      </c>
      <c r="J265" s="3" t="s">
        <v>5536</v>
      </c>
      <c r="K265" s="3" t="s">
        <v>5727</v>
      </c>
      <c r="L265" s="8" t="str">
        <f>HYPERLINK("http://slimages.macys.com/is/image/MCY/15133354 ")</f>
        <v xml:space="preserve">http://slimages.macys.com/is/image/MCY/15133354 </v>
      </c>
    </row>
    <row r="266" spans="1:12" ht="24.75" x14ac:dyDescent="0.25">
      <c r="A266" s="6" t="s">
        <v>3805</v>
      </c>
      <c r="B266" s="3" t="s">
        <v>6471</v>
      </c>
      <c r="C266" s="4">
        <v>1</v>
      </c>
      <c r="D266" s="5">
        <v>23</v>
      </c>
      <c r="E266" s="4" t="s">
        <v>6472</v>
      </c>
      <c r="F266" s="3" t="s">
        <v>5532</v>
      </c>
      <c r="G266" s="7" t="s">
        <v>5768</v>
      </c>
      <c r="H266" s="3" t="s">
        <v>5825</v>
      </c>
      <c r="I266" s="3" t="s">
        <v>5826</v>
      </c>
      <c r="J266" s="3" t="s">
        <v>5536</v>
      </c>
      <c r="K266" s="3" t="s">
        <v>5594</v>
      </c>
      <c r="L266" s="8" t="str">
        <f>HYPERLINK("http://slimages.macys.com/is/image/MCY/10267363 ")</f>
        <v xml:space="preserve">http://slimages.macys.com/is/image/MCY/10267363 </v>
      </c>
    </row>
    <row r="267" spans="1:12" ht="24.75" x14ac:dyDescent="0.25">
      <c r="A267" s="6" t="s">
        <v>3806</v>
      </c>
      <c r="B267" s="3" t="s">
        <v>6471</v>
      </c>
      <c r="C267" s="4">
        <v>2</v>
      </c>
      <c r="D267" s="5">
        <v>46</v>
      </c>
      <c r="E267" s="4" t="s">
        <v>6472</v>
      </c>
      <c r="F267" s="3" t="s">
        <v>5532</v>
      </c>
      <c r="G267" s="7" t="s">
        <v>5779</v>
      </c>
      <c r="H267" s="3" t="s">
        <v>5825</v>
      </c>
      <c r="I267" s="3" t="s">
        <v>5826</v>
      </c>
      <c r="J267" s="3" t="s">
        <v>5536</v>
      </c>
      <c r="K267" s="3" t="s">
        <v>5594</v>
      </c>
      <c r="L267" s="8" t="str">
        <f>HYPERLINK("http://slimages.macys.com/is/image/MCY/10267363 ")</f>
        <v xml:space="preserve">http://slimages.macys.com/is/image/MCY/10267363 </v>
      </c>
    </row>
    <row r="268" spans="1:12" ht="24.75" x14ac:dyDescent="0.25">
      <c r="A268" s="6" t="s">
        <v>3207</v>
      </c>
      <c r="B268" s="3" t="s">
        <v>6471</v>
      </c>
      <c r="C268" s="4">
        <v>1</v>
      </c>
      <c r="D268" s="5">
        <v>23</v>
      </c>
      <c r="E268" s="4" t="s">
        <v>6472</v>
      </c>
      <c r="F268" s="3" t="s">
        <v>5532</v>
      </c>
      <c r="G268" s="7"/>
      <c r="H268" s="3" t="s">
        <v>5825</v>
      </c>
      <c r="I268" s="3" t="s">
        <v>5826</v>
      </c>
      <c r="J268" s="3" t="s">
        <v>5536</v>
      </c>
      <c r="K268" s="3" t="s">
        <v>5594</v>
      </c>
      <c r="L268" s="8" t="str">
        <f>HYPERLINK("http://slimages.macys.com/is/image/MCY/10267363 ")</f>
        <v xml:space="preserve">http://slimages.macys.com/is/image/MCY/10267363 </v>
      </c>
    </row>
    <row r="269" spans="1:12" ht="24.75" x14ac:dyDescent="0.25">
      <c r="A269" s="6" t="s">
        <v>6480</v>
      </c>
      <c r="B269" s="3" t="s">
        <v>6471</v>
      </c>
      <c r="C269" s="4">
        <v>1</v>
      </c>
      <c r="D269" s="5">
        <v>23</v>
      </c>
      <c r="E269" s="4" t="s">
        <v>6472</v>
      </c>
      <c r="F269" s="3" t="s">
        <v>5532</v>
      </c>
      <c r="G269" s="7" t="s">
        <v>5762</v>
      </c>
      <c r="H269" s="3" t="s">
        <v>5825</v>
      </c>
      <c r="I269" s="3" t="s">
        <v>5826</v>
      </c>
      <c r="J269" s="3" t="s">
        <v>5536</v>
      </c>
      <c r="K269" s="3" t="s">
        <v>5594</v>
      </c>
      <c r="L269" s="8" t="str">
        <f>HYPERLINK("http://slimages.macys.com/is/image/MCY/10267363 ")</f>
        <v xml:space="preserve">http://slimages.macys.com/is/image/MCY/10267363 </v>
      </c>
    </row>
    <row r="270" spans="1:12" ht="24.75" x14ac:dyDescent="0.25">
      <c r="A270" s="6" t="s">
        <v>6478</v>
      </c>
      <c r="B270" s="3" t="s">
        <v>6471</v>
      </c>
      <c r="C270" s="4">
        <v>1</v>
      </c>
      <c r="D270" s="5">
        <v>23</v>
      </c>
      <c r="E270" s="4" t="s">
        <v>6472</v>
      </c>
      <c r="F270" s="3" t="s">
        <v>5532</v>
      </c>
      <c r="G270" s="7" t="s">
        <v>5777</v>
      </c>
      <c r="H270" s="3" t="s">
        <v>5825</v>
      </c>
      <c r="I270" s="3" t="s">
        <v>5826</v>
      </c>
      <c r="J270" s="3" t="s">
        <v>5536</v>
      </c>
      <c r="K270" s="3" t="s">
        <v>5594</v>
      </c>
      <c r="L270" s="8" t="str">
        <f>HYPERLINK("http://slimages.macys.com/is/image/MCY/10267363 ")</f>
        <v xml:space="preserve">http://slimages.macys.com/is/image/MCY/10267363 </v>
      </c>
    </row>
    <row r="271" spans="1:12" ht="24.75" x14ac:dyDescent="0.25">
      <c r="A271" s="6" t="s">
        <v>3807</v>
      </c>
      <c r="B271" s="3" t="s">
        <v>3808</v>
      </c>
      <c r="C271" s="4">
        <v>1</v>
      </c>
      <c r="D271" s="5">
        <v>25</v>
      </c>
      <c r="E271" s="4" t="s">
        <v>3809</v>
      </c>
      <c r="F271" s="3" t="s">
        <v>5661</v>
      </c>
      <c r="G271" s="7"/>
      <c r="H271" s="3" t="s">
        <v>5825</v>
      </c>
      <c r="I271" s="3" t="s">
        <v>6265</v>
      </c>
      <c r="J271" s="3" t="s">
        <v>5536</v>
      </c>
      <c r="K271" s="3" t="s">
        <v>6266</v>
      </c>
      <c r="L271" s="8" t="str">
        <f>HYPERLINK("http://slimages.macys.com/is/image/MCY/15216857 ")</f>
        <v xml:space="preserve">http://slimages.macys.com/is/image/MCY/15216857 </v>
      </c>
    </row>
    <row r="272" spans="1:12" ht="24.75" x14ac:dyDescent="0.25">
      <c r="A272" s="6" t="s">
        <v>5041</v>
      </c>
      <c r="B272" s="3" t="s">
        <v>6273</v>
      </c>
      <c r="C272" s="4">
        <v>1</v>
      </c>
      <c r="D272" s="5">
        <v>25</v>
      </c>
      <c r="E272" s="4" t="s">
        <v>6274</v>
      </c>
      <c r="F272" s="3" t="s">
        <v>4043</v>
      </c>
      <c r="G272" s="7"/>
      <c r="H272" s="3" t="s">
        <v>5825</v>
      </c>
      <c r="I272" s="3" t="s">
        <v>6265</v>
      </c>
      <c r="J272" s="3" t="s">
        <v>5536</v>
      </c>
      <c r="K272" s="3" t="s">
        <v>6266</v>
      </c>
      <c r="L272" s="8" t="str">
        <f>HYPERLINK("http://slimages.macys.com/is/image/MCY/11544590 ")</f>
        <v xml:space="preserve">http://slimages.macys.com/is/image/MCY/11544590 </v>
      </c>
    </row>
    <row r="273" spans="1:12" ht="24.75" x14ac:dyDescent="0.25">
      <c r="A273" s="6" t="s">
        <v>3810</v>
      </c>
      <c r="B273" s="3" t="s">
        <v>3811</v>
      </c>
      <c r="C273" s="4">
        <v>1</v>
      </c>
      <c r="D273" s="5">
        <v>27.69</v>
      </c>
      <c r="E273" s="4" t="s">
        <v>3812</v>
      </c>
      <c r="F273" s="3" t="s">
        <v>5540</v>
      </c>
      <c r="G273" s="7" t="s">
        <v>5898</v>
      </c>
      <c r="H273" s="3" t="s">
        <v>5842</v>
      </c>
      <c r="I273" s="3" t="s">
        <v>6082</v>
      </c>
      <c r="J273" s="3" t="s">
        <v>5536</v>
      </c>
      <c r="K273" s="3" t="s">
        <v>5984</v>
      </c>
      <c r="L273" s="8" t="str">
        <f>HYPERLINK("http://slimages.macys.com/is/image/MCY/14313758 ")</f>
        <v xml:space="preserve">http://slimages.macys.com/is/image/MCY/14313758 </v>
      </c>
    </row>
    <row r="274" spans="1:12" ht="24.75" x14ac:dyDescent="0.25">
      <c r="A274" s="6" t="s">
        <v>2417</v>
      </c>
      <c r="B274" s="3" t="s">
        <v>6489</v>
      </c>
      <c r="C274" s="4">
        <v>1</v>
      </c>
      <c r="D274" s="5">
        <v>40</v>
      </c>
      <c r="E274" s="4" t="s">
        <v>6490</v>
      </c>
      <c r="F274" s="3" t="s">
        <v>5887</v>
      </c>
      <c r="G274" s="7" t="s">
        <v>5799</v>
      </c>
      <c r="H274" s="3" t="s">
        <v>6492</v>
      </c>
      <c r="I274" s="3" t="s">
        <v>6493</v>
      </c>
      <c r="J274" s="3" t="s">
        <v>5536</v>
      </c>
      <c r="K274" s="3" t="s">
        <v>6494</v>
      </c>
      <c r="L274" s="8" t="str">
        <f>HYPERLINK("http://slimages.macys.com/is/image/MCY/15892725 ")</f>
        <v xml:space="preserve">http://slimages.macys.com/is/image/MCY/15892725 </v>
      </c>
    </row>
    <row r="275" spans="1:12" ht="24.75" x14ac:dyDescent="0.25">
      <c r="A275" s="6" t="s">
        <v>3813</v>
      </c>
      <c r="B275" s="3" t="s">
        <v>3814</v>
      </c>
      <c r="C275" s="4">
        <v>1</v>
      </c>
      <c r="D275" s="5">
        <v>20</v>
      </c>
      <c r="E275" s="4">
        <v>100011600</v>
      </c>
      <c r="F275" s="3" t="s">
        <v>5540</v>
      </c>
      <c r="G275" s="7" t="s">
        <v>5598</v>
      </c>
      <c r="H275" s="3" t="s">
        <v>3941</v>
      </c>
      <c r="I275" s="3" t="s">
        <v>3942</v>
      </c>
      <c r="J275" s="3" t="s">
        <v>5536</v>
      </c>
      <c r="K275" s="3" t="s">
        <v>5727</v>
      </c>
      <c r="L275" s="8" t="str">
        <f>HYPERLINK("http://slimages.macys.com/is/image/MCY/9341554 ")</f>
        <v xml:space="preserve">http://slimages.macys.com/is/image/MCY/9341554 </v>
      </c>
    </row>
    <row r="276" spans="1:12" ht="24.75" x14ac:dyDescent="0.25">
      <c r="A276" s="6" t="s">
        <v>3815</v>
      </c>
      <c r="B276" s="3" t="s">
        <v>3816</v>
      </c>
      <c r="C276" s="4">
        <v>1</v>
      </c>
      <c r="D276" s="5">
        <v>24</v>
      </c>
      <c r="E276" s="4" t="s">
        <v>3817</v>
      </c>
      <c r="F276" s="3" t="s">
        <v>5552</v>
      </c>
      <c r="G276" s="7"/>
      <c r="H276" s="3" t="s">
        <v>5825</v>
      </c>
      <c r="I276" s="3" t="s">
        <v>6673</v>
      </c>
      <c r="J276" s="3" t="s">
        <v>5536</v>
      </c>
      <c r="K276" s="3" t="s">
        <v>5594</v>
      </c>
      <c r="L276" s="8" t="str">
        <f>HYPERLINK("http://slimages.macys.com/is/image/MCY/13853352 ")</f>
        <v xml:space="preserve">http://slimages.macys.com/is/image/MCY/13853352 </v>
      </c>
    </row>
    <row r="277" spans="1:12" x14ac:dyDescent="0.25">
      <c r="A277" s="6" t="s">
        <v>4269</v>
      </c>
      <c r="B277" s="3" t="s">
        <v>4270</v>
      </c>
      <c r="C277" s="4">
        <v>1</v>
      </c>
      <c r="D277" s="5">
        <v>34.99</v>
      </c>
      <c r="E277" s="4" t="s">
        <v>4271</v>
      </c>
      <c r="F277" s="3" t="s">
        <v>5532</v>
      </c>
      <c r="G277" s="7" t="s">
        <v>5598</v>
      </c>
      <c r="H277" s="3" t="s">
        <v>6003</v>
      </c>
      <c r="I277" s="3" t="s">
        <v>6004</v>
      </c>
      <c r="J277" s="3" t="s">
        <v>5536</v>
      </c>
      <c r="K277" s="3" t="s">
        <v>6021</v>
      </c>
      <c r="L277" s="8" t="str">
        <f>HYPERLINK("http://slimages.macys.com/is/image/MCY/16187974 ")</f>
        <v xml:space="preserve">http://slimages.macys.com/is/image/MCY/16187974 </v>
      </c>
    </row>
    <row r="278" spans="1:12" ht="24.75" x14ac:dyDescent="0.25">
      <c r="A278" s="6" t="s">
        <v>437</v>
      </c>
      <c r="B278" s="3" t="s">
        <v>6263</v>
      </c>
      <c r="C278" s="4">
        <v>1</v>
      </c>
      <c r="D278" s="5">
        <v>25.5</v>
      </c>
      <c r="E278" s="4" t="s">
        <v>6264</v>
      </c>
      <c r="F278" s="3" t="s">
        <v>5578</v>
      </c>
      <c r="G278" s="7"/>
      <c r="H278" s="3" t="s">
        <v>5825</v>
      </c>
      <c r="I278" s="3" t="s">
        <v>6265</v>
      </c>
      <c r="J278" s="3" t="s">
        <v>5536</v>
      </c>
      <c r="K278" s="3" t="s">
        <v>6266</v>
      </c>
      <c r="L278" s="8" t="str">
        <f>HYPERLINK("http://slimages.macys.com/is/image/MCY/11518029 ")</f>
        <v xml:space="preserve">http://slimages.macys.com/is/image/MCY/11518029 </v>
      </c>
    </row>
    <row r="279" spans="1:12" ht="24.75" x14ac:dyDescent="0.25">
      <c r="A279" s="6" t="s">
        <v>438</v>
      </c>
      <c r="B279" s="3" t="s">
        <v>5051</v>
      </c>
      <c r="C279" s="4">
        <v>1</v>
      </c>
      <c r="D279" s="5">
        <v>25</v>
      </c>
      <c r="E279" s="4" t="s">
        <v>5052</v>
      </c>
      <c r="F279" s="3" t="s">
        <v>5532</v>
      </c>
      <c r="G279" s="7"/>
      <c r="H279" s="3" t="s">
        <v>5825</v>
      </c>
      <c r="I279" s="3" t="s">
        <v>6265</v>
      </c>
      <c r="J279" s="3" t="s">
        <v>5536</v>
      </c>
      <c r="K279" s="3" t="s">
        <v>6266</v>
      </c>
      <c r="L279" s="8" t="str">
        <f>HYPERLINK("http://slimages.macys.com/is/image/MCY/15216742 ")</f>
        <v xml:space="preserve">http://slimages.macys.com/is/image/MCY/15216742 </v>
      </c>
    </row>
    <row r="280" spans="1:12" ht="24.75" x14ac:dyDescent="0.25">
      <c r="A280" s="6" t="s">
        <v>5050</v>
      </c>
      <c r="B280" s="3" t="s">
        <v>5051</v>
      </c>
      <c r="C280" s="4">
        <v>1</v>
      </c>
      <c r="D280" s="5">
        <v>25</v>
      </c>
      <c r="E280" s="4" t="s">
        <v>5052</v>
      </c>
      <c r="F280" s="3" t="s">
        <v>5532</v>
      </c>
      <c r="G280" s="7"/>
      <c r="H280" s="3" t="s">
        <v>5825</v>
      </c>
      <c r="I280" s="3" t="s">
        <v>6265</v>
      </c>
      <c r="J280" s="3" t="s">
        <v>5536</v>
      </c>
      <c r="K280" s="3" t="s">
        <v>6266</v>
      </c>
      <c r="L280" s="8" t="str">
        <f>HYPERLINK("http://slimages.macys.com/is/image/MCY/15216742 ")</f>
        <v xml:space="preserve">http://slimages.macys.com/is/image/MCY/15216742 </v>
      </c>
    </row>
    <row r="281" spans="1:12" ht="24.75" x14ac:dyDescent="0.25">
      <c r="A281" s="6" t="s">
        <v>439</v>
      </c>
      <c r="B281" s="3" t="s">
        <v>5051</v>
      </c>
      <c r="C281" s="4">
        <v>3</v>
      </c>
      <c r="D281" s="5">
        <v>75</v>
      </c>
      <c r="E281" s="4" t="s">
        <v>5052</v>
      </c>
      <c r="F281" s="3" t="s">
        <v>5532</v>
      </c>
      <c r="G281" s="7"/>
      <c r="H281" s="3" t="s">
        <v>5825</v>
      </c>
      <c r="I281" s="3" t="s">
        <v>6265</v>
      </c>
      <c r="J281" s="3" t="s">
        <v>5536</v>
      </c>
      <c r="K281" s="3" t="s">
        <v>6266</v>
      </c>
      <c r="L281" s="8" t="str">
        <f>HYPERLINK("http://slimages.macys.com/is/image/MCY/15216742 ")</f>
        <v xml:space="preserve">http://slimages.macys.com/is/image/MCY/15216742 </v>
      </c>
    </row>
    <row r="282" spans="1:12" ht="24.75" x14ac:dyDescent="0.25">
      <c r="A282" s="6" t="s">
        <v>440</v>
      </c>
      <c r="B282" s="3" t="s">
        <v>6521</v>
      </c>
      <c r="C282" s="4">
        <v>1</v>
      </c>
      <c r="D282" s="5">
        <v>32.99</v>
      </c>
      <c r="E282" s="4">
        <v>100002133</v>
      </c>
      <c r="F282" s="3" t="s">
        <v>5540</v>
      </c>
      <c r="G282" s="7" t="s">
        <v>6491</v>
      </c>
      <c r="H282" s="3" t="s">
        <v>6522</v>
      </c>
      <c r="I282" s="3" t="s">
        <v>6523</v>
      </c>
      <c r="J282" s="3" t="s">
        <v>5536</v>
      </c>
      <c r="K282" s="3" t="s">
        <v>5727</v>
      </c>
      <c r="L282" s="8" t="str">
        <f>HYPERLINK("http://slimages.macys.com/is/image/MCY/11399941 ")</f>
        <v xml:space="preserve">http://slimages.macys.com/is/image/MCY/11399941 </v>
      </c>
    </row>
    <row r="283" spans="1:12" x14ac:dyDescent="0.25">
      <c r="A283" s="6" t="s">
        <v>441</v>
      </c>
      <c r="B283" s="3" t="s">
        <v>442</v>
      </c>
      <c r="C283" s="4">
        <v>1</v>
      </c>
      <c r="D283" s="5">
        <v>34.99</v>
      </c>
      <c r="E283" s="4" t="s">
        <v>443</v>
      </c>
      <c r="F283" s="3" t="s">
        <v>5661</v>
      </c>
      <c r="G283" s="7" t="s">
        <v>5562</v>
      </c>
      <c r="H283" s="3" t="s">
        <v>6003</v>
      </c>
      <c r="I283" s="3" t="s">
        <v>6004</v>
      </c>
      <c r="J283" s="3" t="s">
        <v>5536</v>
      </c>
      <c r="K283" s="3" t="s">
        <v>6021</v>
      </c>
      <c r="L283" s="8" t="str">
        <f>HYPERLINK("http://slimages.macys.com/is/image/MCY/16232603 ")</f>
        <v xml:space="preserve">http://slimages.macys.com/is/image/MCY/16232603 </v>
      </c>
    </row>
    <row r="284" spans="1:12" x14ac:dyDescent="0.25">
      <c r="A284" s="6" t="s">
        <v>444</v>
      </c>
      <c r="B284" s="3" t="s">
        <v>442</v>
      </c>
      <c r="C284" s="4">
        <v>2</v>
      </c>
      <c r="D284" s="5">
        <v>69.98</v>
      </c>
      <c r="E284" s="4" t="s">
        <v>443</v>
      </c>
      <c r="F284" s="3" t="s">
        <v>5661</v>
      </c>
      <c r="G284" s="7" t="s">
        <v>5598</v>
      </c>
      <c r="H284" s="3" t="s">
        <v>6003</v>
      </c>
      <c r="I284" s="3" t="s">
        <v>6004</v>
      </c>
      <c r="J284" s="3" t="s">
        <v>5536</v>
      </c>
      <c r="K284" s="3" t="s">
        <v>6021</v>
      </c>
      <c r="L284" s="8" t="str">
        <f>HYPERLINK("http://slimages.macys.com/is/image/MCY/16232603 ")</f>
        <v xml:space="preserve">http://slimages.macys.com/is/image/MCY/16232603 </v>
      </c>
    </row>
    <row r="285" spans="1:12" ht="24.75" x14ac:dyDescent="0.25">
      <c r="A285" s="6" t="s">
        <v>4257</v>
      </c>
      <c r="B285" s="3" t="s">
        <v>6273</v>
      </c>
      <c r="C285" s="4">
        <v>1</v>
      </c>
      <c r="D285" s="5">
        <v>25</v>
      </c>
      <c r="E285" s="4" t="s">
        <v>6274</v>
      </c>
      <c r="F285" s="3" t="s">
        <v>5604</v>
      </c>
      <c r="G285" s="7"/>
      <c r="H285" s="3" t="s">
        <v>5825</v>
      </c>
      <c r="I285" s="3" t="s">
        <v>6265</v>
      </c>
      <c r="J285" s="3" t="s">
        <v>5536</v>
      </c>
      <c r="K285" s="3" t="s">
        <v>6266</v>
      </c>
      <c r="L285" s="8" t="str">
        <f>HYPERLINK("http://slimages.macys.com/is/image/MCY/11544590 ")</f>
        <v xml:space="preserve">http://slimages.macys.com/is/image/MCY/11544590 </v>
      </c>
    </row>
    <row r="286" spans="1:12" ht="24.75" x14ac:dyDescent="0.25">
      <c r="A286" s="6" t="s">
        <v>445</v>
      </c>
      <c r="B286" s="3" t="s">
        <v>6273</v>
      </c>
      <c r="C286" s="4">
        <v>1</v>
      </c>
      <c r="D286" s="5">
        <v>25</v>
      </c>
      <c r="E286" s="4" t="s">
        <v>6274</v>
      </c>
      <c r="F286" s="3" t="s">
        <v>5604</v>
      </c>
      <c r="G286" s="7"/>
      <c r="H286" s="3" t="s">
        <v>5825</v>
      </c>
      <c r="I286" s="3" t="s">
        <v>6265</v>
      </c>
      <c r="J286" s="3" t="s">
        <v>5536</v>
      </c>
      <c r="K286" s="3" t="s">
        <v>6266</v>
      </c>
      <c r="L286" s="8" t="str">
        <f>HYPERLINK("http://slimages.macys.com/is/image/MCY/11544590 ")</f>
        <v xml:space="preserve">http://slimages.macys.com/is/image/MCY/11544590 </v>
      </c>
    </row>
    <row r="287" spans="1:12" ht="24.75" x14ac:dyDescent="0.25">
      <c r="A287" s="6" t="s">
        <v>446</v>
      </c>
      <c r="B287" s="3" t="s">
        <v>6273</v>
      </c>
      <c r="C287" s="4">
        <v>1</v>
      </c>
      <c r="D287" s="5">
        <v>25</v>
      </c>
      <c r="E287" s="4" t="s">
        <v>6274</v>
      </c>
      <c r="F287" s="3" t="s">
        <v>5604</v>
      </c>
      <c r="G287" s="7"/>
      <c r="H287" s="3" t="s">
        <v>5825</v>
      </c>
      <c r="I287" s="3" t="s">
        <v>6265</v>
      </c>
      <c r="J287" s="3" t="s">
        <v>5536</v>
      </c>
      <c r="K287" s="3" t="s">
        <v>6266</v>
      </c>
      <c r="L287" s="8" t="str">
        <f>HYPERLINK("http://slimages.macys.com/is/image/MCY/11544590 ")</f>
        <v xml:space="preserve">http://slimages.macys.com/is/image/MCY/11544590 </v>
      </c>
    </row>
    <row r="288" spans="1:12" ht="24.75" x14ac:dyDescent="0.25">
      <c r="A288" s="6" t="s">
        <v>447</v>
      </c>
      <c r="B288" s="3" t="s">
        <v>4302</v>
      </c>
      <c r="C288" s="4">
        <v>1</v>
      </c>
      <c r="D288" s="5">
        <v>29.99</v>
      </c>
      <c r="E288" s="4">
        <v>10008470100</v>
      </c>
      <c r="F288" s="3" t="s">
        <v>5661</v>
      </c>
      <c r="G288" s="7" t="s">
        <v>6252</v>
      </c>
      <c r="H288" s="3" t="s">
        <v>6652</v>
      </c>
      <c r="I288" s="3" t="s">
        <v>4297</v>
      </c>
      <c r="J288" s="3" t="s">
        <v>5536</v>
      </c>
      <c r="K288" s="3" t="s">
        <v>6303</v>
      </c>
      <c r="L288" s="8" t="str">
        <f>HYPERLINK("http://slimages.macys.com/is/image/MCY/15133119 ")</f>
        <v xml:space="preserve">http://slimages.macys.com/is/image/MCY/15133119 </v>
      </c>
    </row>
    <row r="289" spans="1:12" ht="24.75" x14ac:dyDescent="0.25">
      <c r="A289" s="6" t="s">
        <v>448</v>
      </c>
      <c r="B289" s="3" t="s">
        <v>449</v>
      </c>
      <c r="C289" s="4">
        <v>1</v>
      </c>
      <c r="D289" s="5">
        <v>29.99</v>
      </c>
      <c r="E289" s="4">
        <v>10008470300</v>
      </c>
      <c r="F289" s="3" t="s">
        <v>5661</v>
      </c>
      <c r="G289" s="7" t="s">
        <v>6252</v>
      </c>
      <c r="H289" s="3" t="s">
        <v>6652</v>
      </c>
      <c r="I289" s="3" t="s">
        <v>4297</v>
      </c>
      <c r="J289" s="3" t="s">
        <v>5536</v>
      </c>
      <c r="K289" s="3" t="s">
        <v>6303</v>
      </c>
      <c r="L289" s="8" t="str">
        <f>HYPERLINK("http://slimages.macys.com/is/image/MCY/15133160 ")</f>
        <v xml:space="preserve">http://slimages.macys.com/is/image/MCY/15133160 </v>
      </c>
    </row>
    <row r="290" spans="1:12" ht="24.75" x14ac:dyDescent="0.25">
      <c r="A290" s="6" t="s">
        <v>450</v>
      </c>
      <c r="B290" s="3" t="s">
        <v>451</v>
      </c>
      <c r="C290" s="4">
        <v>1</v>
      </c>
      <c r="D290" s="5">
        <v>29.99</v>
      </c>
      <c r="E290" s="4">
        <v>10006498800</v>
      </c>
      <c r="F290" s="3" t="s">
        <v>5610</v>
      </c>
      <c r="G290" s="7" t="s">
        <v>6252</v>
      </c>
      <c r="H290" s="3" t="s">
        <v>6652</v>
      </c>
      <c r="I290" s="3" t="s">
        <v>4297</v>
      </c>
      <c r="J290" s="3" t="s">
        <v>5536</v>
      </c>
      <c r="K290" s="3" t="s">
        <v>452</v>
      </c>
      <c r="L290" s="8" t="str">
        <f>HYPERLINK("http://slimages.macys.com/is/image/MCY/12045855 ")</f>
        <v xml:space="preserve">http://slimages.macys.com/is/image/MCY/12045855 </v>
      </c>
    </row>
    <row r="291" spans="1:12" ht="24.75" x14ac:dyDescent="0.25">
      <c r="A291" s="6" t="s">
        <v>453</v>
      </c>
      <c r="B291" s="3" t="s">
        <v>454</v>
      </c>
      <c r="C291" s="4">
        <v>2</v>
      </c>
      <c r="D291" s="5">
        <v>59.98</v>
      </c>
      <c r="E291" s="4">
        <v>10007808800</v>
      </c>
      <c r="F291" s="3" t="s">
        <v>5661</v>
      </c>
      <c r="G291" s="7" t="s">
        <v>6252</v>
      </c>
      <c r="H291" s="3" t="s">
        <v>6652</v>
      </c>
      <c r="I291" s="3" t="s">
        <v>4297</v>
      </c>
      <c r="J291" s="3" t="s">
        <v>5536</v>
      </c>
      <c r="K291" s="3" t="s">
        <v>6295</v>
      </c>
      <c r="L291" s="8" t="str">
        <f>HYPERLINK("http://slimages.macys.com/is/image/MCY/14365812 ")</f>
        <v xml:space="preserve">http://slimages.macys.com/is/image/MCY/14365812 </v>
      </c>
    </row>
    <row r="292" spans="1:12" ht="24.75" x14ac:dyDescent="0.25">
      <c r="A292" s="6" t="s">
        <v>455</v>
      </c>
      <c r="B292" s="3" t="s">
        <v>449</v>
      </c>
      <c r="C292" s="4">
        <v>1</v>
      </c>
      <c r="D292" s="5">
        <v>29.99</v>
      </c>
      <c r="E292" s="4">
        <v>10008470300</v>
      </c>
      <c r="F292" s="3" t="s">
        <v>5532</v>
      </c>
      <c r="G292" s="7" t="s">
        <v>6252</v>
      </c>
      <c r="H292" s="3" t="s">
        <v>6652</v>
      </c>
      <c r="I292" s="3" t="s">
        <v>4297</v>
      </c>
      <c r="J292" s="3" t="s">
        <v>5536</v>
      </c>
      <c r="K292" s="3" t="s">
        <v>6303</v>
      </c>
      <c r="L292" s="8" t="str">
        <f>HYPERLINK("http://slimages.macys.com/is/image/MCY/15133160 ")</f>
        <v xml:space="preserve">http://slimages.macys.com/is/image/MCY/15133160 </v>
      </c>
    </row>
    <row r="293" spans="1:12" ht="24.75" x14ac:dyDescent="0.25">
      <c r="A293" s="6" t="s">
        <v>4301</v>
      </c>
      <c r="B293" s="3" t="s">
        <v>4302</v>
      </c>
      <c r="C293" s="4">
        <v>1</v>
      </c>
      <c r="D293" s="5">
        <v>29.99</v>
      </c>
      <c r="E293" s="4">
        <v>10008470100</v>
      </c>
      <c r="F293" s="3" t="s">
        <v>5552</v>
      </c>
      <c r="G293" s="7" t="s">
        <v>6252</v>
      </c>
      <c r="H293" s="3" t="s">
        <v>6652</v>
      </c>
      <c r="I293" s="3" t="s">
        <v>4297</v>
      </c>
      <c r="J293" s="3" t="s">
        <v>5536</v>
      </c>
      <c r="K293" s="3" t="s">
        <v>6303</v>
      </c>
      <c r="L293" s="8" t="str">
        <f>HYPERLINK("http://slimages.macys.com/is/image/MCY/15133119 ")</f>
        <v xml:space="preserve">http://slimages.macys.com/is/image/MCY/15133119 </v>
      </c>
    </row>
    <row r="294" spans="1:12" ht="24.75" x14ac:dyDescent="0.25">
      <c r="A294" s="6" t="s">
        <v>456</v>
      </c>
      <c r="B294" s="3" t="s">
        <v>457</v>
      </c>
      <c r="C294" s="4">
        <v>1</v>
      </c>
      <c r="D294" s="5">
        <v>29.99</v>
      </c>
      <c r="E294" s="4">
        <v>10007808900</v>
      </c>
      <c r="F294" s="3" t="s">
        <v>5532</v>
      </c>
      <c r="G294" s="7" t="s">
        <v>6252</v>
      </c>
      <c r="H294" s="3" t="s">
        <v>6652</v>
      </c>
      <c r="I294" s="3" t="s">
        <v>4297</v>
      </c>
      <c r="J294" s="3" t="s">
        <v>5536</v>
      </c>
      <c r="K294" s="3" t="s">
        <v>4311</v>
      </c>
      <c r="L294" s="8" t="str">
        <f>HYPERLINK("http://slimages.macys.com/is/image/MCY/15133009 ")</f>
        <v xml:space="preserve">http://slimages.macys.com/is/image/MCY/15133009 </v>
      </c>
    </row>
    <row r="295" spans="1:12" ht="24.75" x14ac:dyDescent="0.25">
      <c r="A295" s="6" t="s">
        <v>458</v>
      </c>
      <c r="B295" s="3" t="s">
        <v>459</v>
      </c>
      <c r="C295" s="4">
        <v>1</v>
      </c>
      <c r="D295" s="5">
        <v>29.99</v>
      </c>
      <c r="E295" s="4">
        <v>10007809000</v>
      </c>
      <c r="F295" s="3" t="s">
        <v>5552</v>
      </c>
      <c r="G295" s="7" t="s">
        <v>6252</v>
      </c>
      <c r="H295" s="3" t="s">
        <v>6652</v>
      </c>
      <c r="I295" s="3" t="s">
        <v>4297</v>
      </c>
      <c r="J295" s="3" t="s">
        <v>5536</v>
      </c>
      <c r="K295" s="3" t="s">
        <v>6332</v>
      </c>
      <c r="L295" s="8" t="str">
        <f>HYPERLINK("http://slimages.macys.com/is/image/MCY/14365906 ")</f>
        <v xml:space="preserve">http://slimages.macys.com/is/image/MCY/14365906 </v>
      </c>
    </row>
    <row r="296" spans="1:12" ht="24.75" x14ac:dyDescent="0.25">
      <c r="A296" s="6" t="s">
        <v>460</v>
      </c>
      <c r="B296" s="3" t="s">
        <v>4310</v>
      </c>
      <c r="C296" s="4">
        <v>1</v>
      </c>
      <c r="D296" s="5">
        <v>29.99</v>
      </c>
      <c r="E296" s="4">
        <v>10007808700</v>
      </c>
      <c r="F296" s="3" t="s">
        <v>5625</v>
      </c>
      <c r="G296" s="7" t="s">
        <v>6252</v>
      </c>
      <c r="H296" s="3" t="s">
        <v>6652</v>
      </c>
      <c r="I296" s="3" t="s">
        <v>4297</v>
      </c>
      <c r="J296" s="3" t="s">
        <v>5536</v>
      </c>
      <c r="K296" s="3" t="s">
        <v>4311</v>
      </c>
      <c r="L296" s="8" t="str">
        <f>HYPERLINK("http://slimages.macys.com/is/image/MCY/15132836 ")</f>
        <v xml:space="preserve">http://slimages.macys.com/is/image/MCY/15132836 </v>
      </c>
    </row>
    <row r="297" spans="1:12" ht="24.75" x14ac:dyDescent="0.25">
      <c r="A297" s="6" t="s">
        <v>4313</v>
      </c>
      <c r="B297" s="3" t="s">
        <v>4306</v>
      </c>
      <c r="C297" s="4">
        <v>1</v>
      </c>
      <c r="D297" s="5">
        <v>29.99</v>
      </c>
      <c r="E297" s="4">
        <v>10008595700</v>
      </c>
      <c r="F297" s="3" t="s">
        <v>5661</v>
      </c>
      <c r="G297" s="7" t="s">
        <v>6252</v>
      </c>
      <c r="H297" s="3" t="s">
        <v>6652</v>
      </c>
      <c r="I297" s="3" t="s">
        <v>4297</v>
      </c>
      <c r="J297" s="3" t="s">
        <v>5536</v>
      </c>
      <c r="K297" s="3" t="s">
        <v>6295</v>
      </c>
      <c r="L297" s="8" t="str">
        <f>HYPERLINK("http://slimages.macys.com/is/image/MCY/15611912 ")</f>
        <v xml:space="preserve">http://slimages.macys.com/is/image/MCY/15611912 </v>
      </c>
    </row>
    <row r="298" spans="1:12" ht="24.75" x14ac:dyDescent="0.25">
      <c r="A298" s="6" t="s">
        <v>461</v>
      </c>
      <c r="B298" s="3" t="s">
        <v>4310</v>
      </c>
      <c r="C298" s="4">
        <v>1</v>
      </c>
      <c r="D298" s="5">
        <v>29.99</v>
      </c>
      <c r="E298" s="4">
        <v>10007808700</v>
      </c>
      <c r="F298" s="3" t="s">
        <v>5532</v>
      </c>
      <c r="G298" s="7" t="s">
        <v>6252</v>
      </c>
      <c r="H298" s="3" t="s">
        <v>6652</v>
      </c>
      <c r="I298" s="3" t="s">
        <v>4297</v>
      </c>
      <c r="J298" s="3" t="s">
        <v>5536</v>
      </c>
      <c r="K298" s="3" t="s">
        <v>4311</v>
      </c>
      <c r="L298" s="8" t="str">
        <f>HYPERLINK("http://slimages.macys.com/is/image/MCY/15132836 ")</f>
        <v xml:space="preserve">http://slimages.macys.com/is/image/MCY/15132836 </v>
      </c>
    </row>
    <row r="299" spans="1:12" ht="24.75" x14ac:dyDescent="0.25">
      <c r="A299" s="6" t="s">
        <v>462</v>
      </c>
      <c r="B299" s="3" t="s">
        <v>463</v>
      </c>
      <c r="C299" s="4">
        <v>1</v>
      </c>
      <c r="D299" s="5">
        <v>29.99</v>
      </c>
      <c r="E299" s="4">
        <v>10008470400</v>
      </c>
      <c r="F299" s="3" t="s">
        <v>5532</v>
      </c>
      <c r="G299" s="7" t="s">
        <v>6252</v>
      </c>
      <c r="H299" s="3" t="s">
        <v>6652</v>
      </c>
      <c r="I299" s="3" t="s">
        <v>4297</v>
      </c>
      <c r="J299" s="3" t="s">
        <v>5536</v>
      </c>
      <c r="K299" s="3" t="s">
        <v>6303</v>
      </c>
      <c r="L299" s="8" t="str">
        <f>HYPERLINK("http://slimages.macys.com/is/image/MCY/15133235 ")</f>
        <v xml:space="preserve">http://slimages.macys.com/is/image/MCY/15133235 </v>
      </c>
    </row>
    <row r="300" spans="1:12" ht="24.75" x14ac:dyDescent="0.25">
      <c r="A300" s="6" t="s">
        <v>464</v>
      </c>
      <c r="B300" s="3" t="s">
        <v>449</v>
      </c>
      <c r="C300" s="4">
        <v>1</v>
      </c>
      <c r="D300" s="5">
        <v>29.99</v>
      </c>
      <c r="E300" s="4">
        <v>10008470300</v>
      </c>
      <c r="F300" s="3" t="s">
        <v>5552</v>
      </c>
      <c r="G300" s="7" t="s">
        <v>6252</v>
      </c>
      <c r="H300" s="3" t="s">
        <v>6652</v>
      </c>
      <c r="I300" s="3" t="s">
        <v>4297</v>
      </c>
      <c r="J300" s="3" t="s">
        <v>5536</v>
      </c>
      <c r="K300" s="3" t="s">
        <v>6303</v>
      </c>
      <c r="L300" s="8" t="str">
        <f>HYPERLINK("http://slimages.macys.com/is/image/MCY/15133160 ")</f>
        <v xml:space="preserve">http://slimages.macys.com/is/image/MCY/15133160 </v>
      </c>
    </row>
    <row r="301" spans="1:12" ht="24.75" x14ac:dyDescent="0.25">
      <c r="A301" s="6" t="s">
        <v>465</v>
      </c>
      <c r="B301" s="3" t="s">
        <v>466</v>
      </c>
      <c r="C301" s="4">
        <v>1</v>
      </c>
      <c r="D301" s="5">
        <v>18</v>
      </c>
      <c r="E301" s="4" t="s">
        <v>467</v>
      </c>
      <c r="F301" s="3" t="s">
        <v>5798</v>
      </c>
      <c r="G301" s="7"/>
      <c r="H301" s="3" t="s">
        <v>5606</v>
      </c>
      <c r="I301" s="3" t="s">
        <v>6258</v>
      </c>
      <c r="J301" s="3" t="s">
        <v>5536</v>
      </c>
      <c r="K301" s="3" t="s">
        <v>468</v>
      </c>
      <c r="L301" s="8" t="str">
        <f>HYPERLINK("http://slimages.macys.com/is/image/MCY/12724435 ")</f>
        <v xml:space="preserve">http://slimages.macys.com/is/image/MCY/12724435 </v>
      </c>
    </row>
    <row r="302" spans="1:12" ht="24.75" x14ac:dyDescent="0.25">
      <c r="A302" s="6" t="s">
        <v>469</v>
      </c>
      <c r="B302" s="3" t="s">
        <v>6273</v>
      </c>
      <c r="C302" s="4">
        <v>1</v>
      </c>
      <c r="D302" s="5">
        <v>25</v>
      </c>
      <c r="E302" s="4" t="s">
        <v>6274</v>
      </c>
      <c r="F302" s="3" t="s">
        <v>5745</v>
      </c>
      <c r="G302" s="7"/>
      <c r="H302" s="3" t="s">
        <v>5825</v>
      </c>
      <c r="I302" s="3" t="s">
        <v>6265</v>
      </c>
      <c r="J302" s="3" t="s">
        <v>5536</v>
      </c>
      <c r="K302" s="3" t="s">
        <v>6266</v>
      </c>
      <c r="L302" s="8" t="str">
        <f>HYPERLINK("http://slimages.macys.com/is/image/MCY/9710602 ")</f>
        <v xml:space="preserve">http://slimages.macys.com/is/image/MCY/9710602 </v>
      </c>
    </row>
    <row r="303" spans="1:12" ht="24.75" x14ac:dyDescent="0.25">
      <c r="A303" s="6" t="s">
        <v>470</v>
      </c>
      <c r="B303" s="3" t="s">
        <v>6554</v>
      </c>
      <c r="C303" s="4">
        <v>1</v>
      </c>
      <c r="D303" s="5">
        <v>23</v>
      </c>
      <c r="E303" s="4" t="s">
        <v>6555</v>
      </c>
      <c r="F303" s="3" t="s">
        <v>5661</v>
      </c>
      <c r="G303" s="7" t="s">
        <v>5764</v>
      </c>
      <c r="H303" s="3" t="s">
        <v>5825</v>
      </c>
      <c r="I303" s="3" t="s">
        <v>5826</v>
      </c>
      <c r="J303" s="3" t="s">
        <v>5536</v>
      </c>
      <c r="K303" s="3" t="s">
        <v>5553</v>
      </c>
      <c r="L303" s="8" t="str">
        <f>HYPERLINK("http://slimages.macys.com/is/image/MCY/9748928 ")</f>
        <v xml:space="preserve">http://slimages.macys.com/is/image/MCY/9748928 </v>
      </c>
    </row>
    <row r="304" spans="1:12" ht="24.75" x14ac:dyDescent="0.25">
      <c r="A304" s="6" t="s">
        <v>5063</v>
      </c>
      <c r="B304" s="3" t="s">
        <v>6554</v>
      </c>
      <c r="C304" s="4">
        <v>2</v>
      </c>
      <c r="D304" s="5">
        <v>46</v>
      </c>
      <c r="E304" s="4" t="s">
        <v>6555</v>
      </c>
      <c r="F304" s="3" t="s">
        <v>5661</v>
      </c>
      <c r="G304" s="7" t="s">
        <v>5766</v>
      </c>
      <c r="H304" s="3" t="s">
        <v>5825</v>
      </c>
      <c r="I304" s="3" t="s">
        <v>5826</v>
      </c>
      <c r="J304" s="3" t="s">
        <v>5536</v>
      </c>
      <c r="K304" s="3" t="s">
        <v>5553</v>
      </c>
      <c r="L304" s="8" t="str">
        <f>HYPERLINK("http://slimages.macys.com/is/image/MCY/9748928 ")</f>
        <v xml:space="preserve">http://slimages.macys.com/is/image/MCY/9748928 </v>
      </c>
    </row>
    <row r="305" spans="1:12" ht="24.75" x14ac:dyDescent="0.25">
      <c r="A305" s="6" t="s">
        <v>6553</v>
      </c>
      <c r="B305" s="3" t="s">
        <v>6554</v>
      </c>
      <c r="C305" s="4">
        <v>1</v>
      </c>
      <c r="D305" s="5">
        <v>23</v>
      </c>
      <c r="E305" s="4" t="s">
        <v>6555</v>
      </c>
      <c r="F305" s="3" t="s">
        <v>5661</v>
      </c>
      <c r="G305" s="7" t="s">
        <v>5777</v>
      </c>
      <c r="H305" s="3" t="s">
        <v>5825</v>
      </c>
      <c r="I305" s="3" t="s">
        <v>5826</v>
      </c>
      <c r="J305" s="3" t="s">
        <v>5536</v>
      </c>
      <c r="K305" s="3" t="s">
        <v>5553</v>
      </c>
      <c r="L305" s="8" t="str">
        <f>HYPERLINK("http://slimages.macys.com/is/image/MCY/9748928 ")</f>
        <v xml:space="preserve">http://slimages.macys.com/is/image/MCY/9748928 </v>
      </c>
    </row>
    <row r="306" spans="1:12" ht="24.75" x14ac:dyDescent="0.25">
      <c r="A306" s="6" t="s">
        <v>471</v>
      </c>
      <c r="B306" s="3" t="s">
        <v>6554</v>
      </c>
      <c r="C306" s="4">
        <v>1</v>
      </c>
      <c r="D306" s="5">
        <v>23</v>
      </c>
      <c r="E306" s="4" t="s">
        <v>6555</v>
      </c>
      <c r="F306" s="3" t="s">
        <v>5661</v>
      </c>
      <c r="G306" s="7" t="s">
        <v>5760</v>
      </c>
      <c r="H306" s="3" t="s">
        <v>5825</v>
      </c>
      <c r="I306" s="3" t="s">
        <v>5826</v>
      </c>
      <c r="J306" s="3" t="s">
        <v>5536</v>
      </c>
      <c r="K306" s="3" t="s">
        <v>5553</v>
      </c>
      <c r="L306" s="8" t="str">
        <f>HYPERLINK("http://slimages.macys.com/is/image/MCY/9748928 ")</f>
        <v xml:space="preserve">http://slimages.macys.com/is/image/MCY/9748928 </v>
      </c>
    </row>
    <row r="307" spans="1:12" ht="24.75" x14ac:dyDescent="0.25">
      <c r="A307" s="6" t="s">
        <v>472</v>
      </c>
      <c r="B307" s="3" t="s">
        <v>6554</v>
      </c>
      <c r="C307" s="4">
        <v>1</v>
      </c>
      <c r="D307" s="5">
        <v>23</v>
      </c>
      <c r="E307" s="4" t="s">
        <v>6555</v>
      </c>
      <c r="F307" s="3" t="s">
        <v>6300</v>
      </c>
      <c r="G307" s="7" t="s">
        <v>5830</v>
      </c>
      <c r="H307" s="3" t="s">
        <v>5825</v>
      </c>
      <c r="I307" s="3" t="s">
        <v>5826</v>
      </c>
      <c r="J307" s="3" t="s">
        <v>5536</v>
      </c>
      <c r="K307" s="3" t="s">
        <v>5553</v>
      </c>
      <c r="L307" s="8" t="str">
        <f>HYPERLINK("http://slimages.macys.com/is/image/MCY/11532582 ")</f>
        <v xml:space="preserve">http://slimages.macys.com/is/image/MCY/11532582 </v>
      </c>
    </row>
    <row r="308" spans="1:12" ht="24.75" x14ac:dyDescent="0.25">
      <c r="A308" s="6" t="s">
        <v>473</v>
      </c>
      <c r="B308" s="3" t="s">
        <v>474</v>
      </c>
      <c r="C308" s="4">
        <v>4</v>
      </c>
      <c r="D308" s="5">
        <v>112</v>
      </c>
      <c r="E308" s="4">
        <v>5040938941200</v>
      </c>
      <c r="F308" s="3" t="s">
        <v>5532</v>
      </c>
      <c r="G308" s="7" t="s">
        <v>5596</v>
      </c>
      <c r="H308" s="3" t="s">
        <v>5794</v>
      </c>
      <c r="I308" s="3" t="s">
        <v>3712</v>
      </c>
      <c r="J308" s="3" t="s">
        <v>5536</v>
      </c>
      <c r="K308" s="3" t="s">
        <v>5558</v>
      </c>
      <c r="L308" s="8" t="str">
        <f>HYPERLINK("http://slimages.macys.com/is/image/MCY/14447038 ")</f>
        <v xml:space="preserve">http://slimages.macys.com/is/image/MCY/14447038 </v>
      </c>
    </row>
    <row r="309" spans="1:12" ht="24.75" x14ac:dyDescent="0.25">
      <c r="A309" s="6" t="s">
        <v>475</v>
      </c>
      <c r="B309" s="3" t="s">
        <v>474</v>
      </c>
      <c r="C309" s="4">
        <v>1</v>
      </c>
      <c r="D309" s="5">
        <v>28</v>
      </c>
      <c r="E309" s="4">
        <v>5040938961300</v>
      </c>
      <c r="F309" s="3" t="s">
        <v>5811</v>
      </c>
      <c r="G309" s="7" t="s">
        <v>5562</v>
      </c>
      <c r="H309" s="3" t="s">
        <v>5794</v>
      </c>
      <c r="I309" s="3" t="s">
        <v>3712</v>
      </c>
      <c r="J309" s="3" t="s">
        <v>5536</v>
      </c>
      <c r="K309" s="3" t="s">
        <v>5558</v>
      </c>
      <c r="L309" s="8" t="str">
        <f>HYPERLINK("http://slimages.macys.com/is/image/MCY/14447038 ")</f>
        <v xml:space="preserve">http://slimages.macys.com/is/image/MCY/14447038 </v>
      </c>
    </row>
    <row r="310" spans="1:12" ht="24.75" x14ac:dyDescent="0.25">
      <c r="A310" s="6" t="s">
        <v>476</v>
      </c>
      <c r="B310" s="3" t="s">
        <v>474</v>
      </c>
      <c r="C310" s="4">
        <v>1</v>
      </c>
      <c r="D310" s="5">
        <v>28</v>
      </c>
      <c r="E310" s="4">
        <v>5040938941200</v>
      </c>
      <c r="F310" s="3" t="s">
        <v>5532</v>
      </c>
      <c r="G310" s="7" t="s">
        <v>5562</v>
      </c>
      <c r="H310" s="3" t="s">
        <v>5794</v>
      </c>
      <c r="I310" s="3" t="s">
        <v>3712</v>
      </c>
      <c r="J310" s="3" t="s">
        <v>5536</v>
      </c>
      <c r="K310" s="3" t="s">
        <v>5558</v>
      </c>
      <c r="L310" s="8" t="str">
        <f>HYPERLINK("http://slimages.macys.com/is/image/MCY/14447038 ")</f>
        <v xml:space="preserve">http://slimages.macys.com/is/image/MCY/14447038 </v>
      </c>
    </row>
    <row r="311" spans="1:12" ht="24.75" x14ac:dyDescent="0.25">
      <c r="A311" s="6" t="s">
        <v>477</v>
      </c>
      <c r="B311" s="3" t="s">
        <v>474</v>
      </c>
      <c r="C311" s="4">
        <v>1</v>
      </c>
      <c r="D311" s="5">
        <v>28</v>
      </c>
      <c r="E311" s="4">
        <v>5040938941200</v>
      </c>
      <c r="F311" s="3" t="s">
        <v>5532</v>
      </c>
      <c r="G311" s="7" t="s">
        <v>5533</v>
      </c>
      <c r="H311" s="3" t="s">
        <v>5794</v>
      </c>
      <c r="I311" s="3" t="s">
        <v>3712</v>
      </c>
      <c r="J311" s="3" t="s">
        <v>5536</v>
      </c>
      <c r="K311" s="3" t="s">
        <v>5558</v>
      </c>
      <c r="L311" s="8" t="str">
        <f>HYPERLINK("http://slimages.macys.com/is/image/MCY/14447038 ")</f>
        <v xml:space="preserve">http://slimages.macys.com/is/image/MCY/14447038 </v>
      </c>
    </row>
    <row r="312" spans="1:12" ht="24.75" x14ac:dyDescent="0.25">
      <c r="A312" s="6" t="s">
        <v>478</v>
      </c>
      <c r="B312" s="3" t="s">
        <v>5067</v>
      </c>
      <c r="C312" s="4">
        <v>1</v>
      </c>
      <c r="D312" s="5">
        <v>23</v>
      </c>
      <c r="E312" s="4">
        <v>100019475</v>
      </c>
      <c r="F312" s="3" t="s">
        <v>5532</v>
      </c>
      <c r="G312" s="7" t="s">
        <v>5824</v>
      </c>
      <c r="H312" s="3" t="s">
        <v>5825</v>
      </c>
      <c r="I312" s="3" t="s">
        <v>5826</v>
      </c>
      <c r="J312" s="3" t="s">
        <v>5536</v>
      </c>
      <c r="K312" s="3" t="s">
        <v>5594</v>
      </c>
      <c r="L312" s="8" t="str">
        <f>HYPERLINK("http://slimages.macys.com/is/image/MCY/9512821 ")</f>
        <v xml:space="preserve">http://slimages.macys.com/is/image/MCY/9512821 </v>
      </c>
    </row>
    <row r="313" spans="1:12" ht="24.75" x14ac:dyDescent="0.25">
      <c r="A313" s="6" t="s">
        <v>479</v>
      </c>
      <c r="B313" s="3" t="s">
        <v>480</v>
      </c>
      <c r="C313" s="4">
        <v>1</v>
      </c>
      <c r="D313" s="5">
        <v>34.99</v>
      </c>
      <c r="E313" s="4">
        <v>100009599</v>
      </c>
      <c r="F313" s="3" t="s">
        <v>5578</v>
      </c>
      <c r="G313" s="7" t="s">
        <v>5562</v>
      </c>
      <c r="H313" s="3" t="s">
        <v>6065</v>
      </c>
      <c r="I313" s="3" t="s">
        <v>6066</v>
      </c>
      <c r="J313" s="3" t="s">
        <v>5536</v>
      </c>
      <c r="K313" s="3" t="s">
        <v>6266</v>
      </c>
      <c r="L313" s="8" t="str">
        <f>HYPERLINK("http://slimages.macys.com/is/image/MCY/9191715 ")</f>
        <v xml:space="preserve">http://slimages.macys.com/is/image/MCY/9191715 </v>
      </c>
    </row>
    <row r="314" spans="1:12" ht="24.75" x14ac:dyDescent="0.25">
      <c r="A314" s="6" t="s">
        <v>481</v>
      </c>
      <c r="B314" s="3" t="s">
        <v>482</v>
      </c>
      <c r="C314" s="4">
        <v>1</v>
      </c>
      <c r="D314" s="5">
        <v>23</v>
      </c>
      <c r="E314" s="4" t="s">
        <v>483</v>
      </c>
      <c r="F314" s="3" t="s">
        <v>5783</v>
      </c>
      <c r="G314" s="7"/>
      <c r="H314" s="3" t="s">
        <v>5825</v>
      </c>
      <c r="I314" s="3" t="s">
        <v>5826</v>
      </c>
      <c r="J314" s="3" t="s">
        <v>5536</v>
      </c>
      <c r="K314" s="3" t="s">
        <v>5594</v>
      </c>
      <c r="L314" s="8" t="str">
        <f>HYPERLINK("http://slimages.macys.com/is/image/MCY/9811495 ")</f>
        <v xml:space="preserve">http://slimages.macys.com/is/image/MCY/9811495 </v>
      </c>
    </row>
    <row r="315" spans="1:12" ht="24.75" x14ac:dyDescent="0.25">
      <c r="A315" s="6" t="s">
        <v>484</v>
      </c>
      <c r="B315" s="3" t="s">
        <v>482</v>
      </c>
      <c r="C315" s="4">
        <v>1</v>
      </c>
      <c r="D315" s="5">
        <v>23</v>
      </c>
      <c r="E315" s="4" t="s">
        <v>483</v>
      </c>
      <c r="F315" s="3" t="s">
        <v>5783</v>
      </c>
      <c r="G315" s="7" t="s">
        <v>5777</v>
      </c>
      <c r="H315" s="3" t="s">
        <v>5825</v>
      </c>
      <c r="I315" s="3" t="s">
        <v>5826</v>
      </c>
      <c r="J315" s="3" t="s">
        <v>5536</v>
      </c>
      <c r="K315" s="3" t="s">
        <v>5594</v>
      </c>
      <c r="L315" s="8" t="str">
        <f>HYPERLINK("http://slimages.macys.com/is/image/MCY/9811495 ")</f>
        <v xml:space="preserve">http://slimages.macys.com/is/image/MCY/9811495 </v>
      </c>
    </row>
    <row r="316" spans="1:12" ht="24.75" x14ac:dyDescent="0.25">
      <c r="A316" s="6" t="s">
        <v>485</v>
      </c>
      <c r="B316" s="3" t="s">
        <v>486</v>
      </c>
      <c r="C316" s="4">
        <v>1</v>
      </c>
      <c r="D316" s="5">
        <v>34.99</v>
      </c>
      <c r="E316" s="4" t="s">
        <v>487</v>
      </c>
      <c r="F316" s="3" t="s">
        <v>4043</v>
      </c>
      <c r="G316" s="7" t="s">
        <v>6252</v>
      </c>
      <c r="H316" s="3" t="s">
        <v>6280</v>
      </c>
      <c r="I316" s="3" t="s">
        <v>5878</v>
      </c>
      <c r="J316" s="3" t="s">
        <v>5536</v>
      </c>
      <c r="K316" s="3" t="s">
        <v>5727</v>
      </c>
      <c r="L316" s="8" t="str">
        <f>HYPERLINK("http://slimages.macys.com/is/image/MCY/11762493 ")</f>
        <v xml:space="preserve">http://slimages.macys.com/is/image/MCY/11762493 </v>
      </c>
    </row>
    <row r="317" spans="1:12" ht="24.75" x14ac:dyDescent="0.25">
      <c r="A317" s="6" t="s">
        <v>488</v>
      </c>
      <c r="B317" s="3" t="s">
        <v>489</v>
      </c>
      <c r="C317" s="4">
        <v>1</v>
      </c>
      <c r="D317" s="5">
        <v>24.5</v>
      </c>
      <c r="E317" s="4">
        <v>100018972</v>
      </c>
      <c r="F317" s="3" t="s">
        <v>5540</v>
      </c>
      <c r="G317" s="7" t="s">
        <v>5596</v>
      </c>
      <c r="H317" s="3" t="s">
        <v>5585</v>
      </c>
      <c r="I317" s="3" t="s">
        <v>5734</v>
      </c>
      <c r="J317" s="3" t="s">
        <v>5536</v>
      </c>
      <c r="K317" s="3" t="s">
        <v>5574</v>
      </c>
      <c r="L317" s="8" t="str">
        <f>HYPERLINK("http://slimages.macys.com/is/image/MCY/9805804 ")</f>
        <v xml:space="preserve">http://slimages.macys.com/is/image/MCY/9805804 </v>
      </c>
    </row>
    <row r="318" spans="1:12" ht="24.75" x14ac:dyDescent="0.25">
      <c r="A318" s="6" t="s">
        <v>490</v>
      </c>
      <c r="B318" s="3" t="s">
        <v>489</v>
      </c>
      <c r="C318" s="4">
        <v>1</v>
      </c>
      <c r="D318" s="5">
        <v>24.5</v>
      </c>
      <c r="E318" s="4">
        <v>100018972</v>
      </c>
      <c r="F318" s="3" t="s">
        <v>5540</v>
      </c>
      <c r="G318" s="7" t="s">
        <v>5582</v>
      </c>
      <c r="H318" s="3" t="s">
        <v>5585</v>
      </c>
      <c r="I318" s="3" t="s">
        <v>5734</v>
      </c>
      <c r="J318" s="3" t="s">
        <v>5536</v>
      </c>
      <c r="K318" s="3" t="s">
        <v>5574</v>
      </c>
      <c r="L318" s="8" t="str">
        <f>HYPERLINK("http://slimages.macys.com/is/image/MCY/9805804 ")</f>
        <v xml:space="preserve">http://slimages.macys.com/is/image/MCY/9805804 </v>
      </c>
    </row>
    <row r="319" spans="1:12" ht="24.75" x14ac:dyDescent="0.25">
      <c r="A319" s="6" t="s">
        <v>491</v>
      </c>
      <c r="B319" s="3" t="s">
        <v>489</v>
      </c>
      <c r="C319" s="4">
        <v>1</v>
      </c>
      <c r="D319" s="5">
        <v>24.5</v>
      </c>
      <c r="E319" s="4">
        <v>100018972</v>
      </c>
      <c r="F319" s="3" t="s">
        <v>5540</v>
      </c>
      <c r="G319" s="7" t="s">
        <v>5562</v>
      </c>
      <c r="H319" s="3" t="s">
        <v>5585</v>
      </c>
      <c r="I319" s="3" t="s">
        <v>5734</v>
      </c>
      <c r="J319" s="3" t="s">
        <v>5536</v>
      </c>
      <c r="K319" s="3" t="s">
        <v>5574</v>
      </c>
      <c r="L319" s="8" t="str">
        <f>HYPERLINK("http://slimages.macys.com/is/image/MCY/9805804 ")</f>
        <v xml:space="preserve">http://slimages.macys.com/is/image/MCY/9805804 </v>
      </c>
    </row>
    <row r="320" spans="1:12" ht="24.75" x14ac:dyDescent="0.25">
      <c r="A320" s="6" t="s">
        <v>492</v>
      </c>
      <c r="B320" s="3" t="s">
        <v>493</v>
      </c>
      <c r="C320" s="4">
        <v>1</v>
      </c>
      <c r="D320" s="5">
        <v>29.99</v>
      </c>
      <c r="E320" s="4" t="s">
        <v>494</v>
      </c>
      <c r="F320" s="3" t="s">
        <v>5811</v>
      </c>
      <c r="G320" s="7" t="s">
        <v>5562</v>
      </c>
      <c r="H320" s="3" t="s">
        <v>6065</v>
      </c>
      <c r="I320" s="3" t="s">
        <v>6066</v>
      </c>
      <c r="J320" s="3" t="s">
        <v>5536</v>
      </c>
      <c r="K320" s="3" t="s">
        <v>3263</v>
      </c>
      <c r="L320" s="8" t="str">
        <f>HYPERLINK("http://slimages.macys.com/is/image/MCY/12898707 ")</f>
        <v xml:space="preserve">http://slimages.macys.com/is/image/MCY/12898707 </v>
      </c>
    </row>
    <row r="321" spans="1:12" ht="24.75" x14ac:dyDescent="0.25">
      <c r="A321" s="6" t="s">
        <v>495</v>
      </c>
      <c r="B321" s="3" t="s">
        <v>2444</v>
      </c>
      <c r="C321" s="4">
        <v>1</v>
      </c>
      <c r="D321" s="5">
        <v>35</v>
      </c>
      <c r="E321" s="4">
        <v>10007368400</v>
      </c>
      <c r="F321" s="3" t="s">
        <v>6275</v>
      </c>
      <c r="G321" s="7" t="s">
        <v>5560</v>
      </c>
      <c r="H321" s="3" t="s">
        <v>3941</v>
      </c>
      <c r="I321" s="3" t="s">
        <v>3942</v>
      </c>
      <c r="J321" s="3" t="s">
        <v>5536</v>
      </c>
      <c r="K321" s="3" t="s">
        <v>5574</v>
      </c>
      <c r="L321" s="8" t="str">
        <f>HYPERLINK("http://slimages.macys.com/is/image/MCY/15434891 ")</f>
        <v xml:space="preserve">http://slimages.macys.com/is/image/MCY/15434891 </v>
      </c>
    </row>
    <row r="322" spans="1:12" ht="24.75" x14ac:dyDescent="0.25">
      <c r="A322" s="6" t="s">
        <v>6577</v>
      </c>
      <c r="B322" s="3" t="s">
        <v>6575</v>
      </c>
      <c r="C322" s="4">
        <v>1</v>
      </c>
      <c r="D322" s="5">
        <v>23</v>
      </c>
      <c r="E322" s="4" t="s">
        <v>6576</v>
      </c>
      <c r="F322" s="3" t="s">
        <v>5532</v>
      </c>
      <c r="G322" s="7" t="s">
        <v>5779</v>
      </c>
      <c r="H322" s="3" t="s">
        <v>5825</v>
      </c>
      <c r="I322" s="3" t="s">
        <v>5826</v>
      </c>
      <c r="J322" s="3" t="s">
        <v>5536</v>
      </c>
      <c r="K322" s="3" t="s">
        <v>5549</v>
      </c>
      <c r="L322" s="8" t="str">
        <f>HYPERLINK("http://slimages.macys.com/is/image/MCY/14532354 ")</f>
        <v xml:space="preserve">http://slimages.macys.com/is/image/MCY/14532354 </v>
      </c>
    </row>
    <row r="323" spans="1:12" ht="24.75" x14ac:dyDescent="0.25">
      <c r="A323" s="6" t="s">
        <v>5079</v>
      </c>
      <c r="B323" s="3" t="s">
        <v>6583</v>
      </c>
      <c r="C323" s="4">
        <v>2</v>
      </c>
      <c r="D323" s="5">
        <v>46</v>
      </c>
      <c r="E323" s="4">
        <v>100019474</v>
      </c>
      <c r="F323" s="3" t="s">
        <v>5532</v>
      </c>
      <c r="G323" s="7" t="s">
        <v>5760</v>
      </c>
      <c r="H323" s="3" t="s">
        <v>5825</v>
      </c>
      <c r="I323" s="3" t="s">
        <v>5826</v>
      </c>
      <c r="J323" s="3" t="s">
        <v>5536</v>
      </c>
      <c r="K323" s="3" t="s">
        <v>5594</v>
      </c>
      <c r="L323" s="8" t="str">
        <f>HYPERLINK("http://slimages.macys.com/is/image/MCY/9758508 ")</f>
        <v xml:space="preserve">http://slimages.macys.com/is/image/MCY/9758508 </v>
      </c>
    </row>
    <row r="324" spans="1:12" ht="24.75" x14ac:dyDescent="0.25">
      <c r="A324" s="6" t="s">
        <v>5078</v>
      </c>
      <c r="B324" s="3" t="s">
        <v>6581</v>
      </c>
      <c r="C324" s="4">
        <v>1</v>
      </c>
      <c r="D324" s="5">
        <v>23</v>
      </c>
      <c r="E324" s="4">
        <v>100005324</v>
      </c>
      <c r="F324" s="3" t="s">
        <v>5532</v>
      </c>
      <c r="G324" s="7" t="s">
        <v>5777</v>
      </c>
      <c r="H324" s="3" t="s">
        <v>5825</v>
      </c>
      <c r="I324" s="3" t="s">
        <v>5826</v>
      </c>
      <c r="J324" s="3" t="s">
        <v>5536</v>
      </c>
      <c r="K324" s="3" t="s">
        <v>5594</v>
      </c>
      <c r="L324" s="8" t="str">
        <f t="shared" ref="L324:L330" si="4">HYPERLINK("http://slimages.macys.com/is/image/MCY/9267398 ")</f>
        <v xml:space="preserve">http://slimages.macys.com/is/image/MCY/9267398 </v>
      </c>
    </row>
    <row r="325" spans="1:12" ht="24.75" x14ac:dyDescent="0.25">
      <c r="A325" s="6" t="s">
        <v>496</v>
      </c>
      <c r="B325" s="3" t="s">
        <v>6581</v>
      </c>
      <c r="C325" s="4">
        <v>1</v>
      </c>
      <c r="D325" s="5">
        <v>23</v>
      </c>
      <c r="E325" s="4">
        <v>100005324</v>
      </c>
      <c r="F325" s="3" t="s">
        <v>5532</v>
      </c>
      <c r="G325" s="7"/>
      <c r="H325" s="3" t="s">
        <v>5825</v>
      </c>
      <c r="I325" s="3" t="s">
        <v>5826</v>
      </c>
      <c r="J325" s="3" t="s">
        <v>5536</v>
      </c>
      <c r="K325" s="3" t="s">
        <v>5594</v>
      </c>
      <c r="L325" s="8" t="str">
        <f t="shared" si="4"/>
        <v xml:space="preserve">http://slimages.macys.com/is/image/MCY/9267398 </v>
      </c>
    </row>
    <row r="326" spans="1:12" ht="24.75" x14ac:dyDescent="0.25">
      <c r="A326" s="6" t="s">
        <v>6588</v>
      </c>
      <c r="B326" s="3" t="s">
        <v>6581</v>
      </c>
      <c r="C326" s="4">
        <v>1</v>
      </c>
      <c r="D326" s="5">
        <v>23</v>
      </c>
      <c r="E326" s="4">
        <v>100005324</v>
      </c>
      <c r="F326" s="3" t="s">
        <v>5532</v>
      </c>
      <c r="G326" s="7"/>
      <c r="H326" s="3" t="s">
        <v>5825</v>
      </c>
      <c r="I326" s="3" t="s">
        <v>5826</v>
      </c>
      <c r="J326" s="3" t="s">
        <v>5536</v>
      </c>
      <c r="K326" s="3" t="s">
        <v>5594</v>
      </c>
      <c r="L326" s="8" t="str">
        <f t="shared" si="4"/>
        <v xml:space="preserve">http://slimages.macys.com/is/image/MCY/9267398 </v>
      </c>
    </row>
    <row r="327" spans="1:12" ht="24.75" x14ac:dyDescent="0.25">
      <c r="A327" s="6" t="s">
        <v>6589</v>
      </c>
      <c r="B327" s="3" t="s">
        <v>6581</v>
      </c>
      <c r="C327" s="4">
        <v>2</v>
      </c>
      <c r="D327" s="5">
        <v>46</v>
      </c>
      <c r="E327" s="4">
        <v>100005324</v>
      </c>
      <c r="F327" s="3" t="s">
        <v>5532</v>
      </c>
      <c r="G327" s="7" t="s">
        <v>5830</v>
      </c>
      <c r="H327" s="3" t="s">
        <v>5825</v>
      </c>
      <c r="I327" s="3" t="s">
        <v>5826</v>
      </c>
      <c r="J327" s="3" t="s">
        <v>5536</v>
      </c>
      <c r="K327" s="3" t="s">
        <v>5594</v>
      </c>
      <c r="L327" s="8" t="str">
        <f t="shared" si="4"/>
        <v xml:space="preserve">http://slimages.macys.com/is/image/MCY/9267398 </v>
      </c>
    </row>
    <row r="328" spans="1:12" ht="24.75" x14ac:dyDescent="0.25">
      <c r="A328" s="6" t="s">
        <v>6580</v>
      </c>
      <c r="B328" s="3" t="s">
        <v>6581</v>
      </c>
      <c r="C328" s="4">
        <v>1</v>
      </c>
      <c r="D328" s="5">
        <v>23</v>
      </c>
      <c r="E328" s="4">
        <v>100005324</v>
      </c>
      <c r="F328" s="3" t="s">
        <v>5532</v>
      </c>
      <c r="G328" s="7" t="s">
        <v>5760</v>
      </c>
      <c r="H328" s="3" t="s">
        <v>5825</v>
      </c>
      <c r="I328" s="3" t="s">
        <v>5826</v>
      </c>
      <c r="J328" s="3" t="s">
        <v>5536</v>
      </c>
      <c r="K328" s="3" t="s">
        <v>5594</v>
      </c>
      <c r="L328" s="8" t="str">
        <f t="shared" si="4"/>
        <v xml:space="preserve">http://slimages.macys.com/is/image/MCY/9267398 </v>
      </c>
    </row>
    <row r="329" spans="1:12" ht="24.75" x14ac:dyDescent="0.25">
      <c r="A329" s="6" t="s">
        <v>6590</v>
      </c>
      <c r="B329" s="3" t="s">
        <v>6581</v>
      </c>
      <c r="C329" s="4">
        <v>1</v>
      </c>
      <c r="D329" s="5">
        <v>23</v>
      </c>
      <c r="E329" s="4">
        <v>100005324</v>
      </c>
      <c r="F329" s="3" t="s">
        <v>5532</v>
      </c>
      <c r="G329" s="7" t="s">
        <v>5824</v>
      </c>
      <c r="H329" s="3" t="s">
        <v>5825</v>
      </c>
      <c r="I329" s="3" t="s">
        <v>5826</v>
      </c>
      <c r="J329" s="3" t="s">
        <v>5536</v>
      </c>
      <c r="K329" s="3" t="s">
        <v>5594</v>
      </c>
      <c r="L329" s="8" t="str">
        <f t="shared" si="4"/>
        <v xml:space="preserve">http://slimages.macys.com/is/image/MCY/9267398 </v>
      </c>
    </row>
    <row r="330" spans="1:12" ht="24.75" x14ac:dyDescent="0.25">
      <c r="A330" s="6" t="s">
        <v>6591</v>
      </c>
      <c r="B330" s="3" t="s">
        <v>6581</v>
      </c>
      <c r="C330" s="4">
        <v>1</v>
      </c>
      <c r="D330" s="5">
        <v>23</v>
      </c>
      <c r="E330" s="4">
        <v>100005324</v>
      </c>
      <c r="F330" s="3" t="s">
        <v>5532</v>
      </c>
      <c r="G330" s="7"/>
      <c r="H330" s="3" t="s">
        <v>5825</v>
      </c>
      <c r="I330" s="3" t="s">
        <v>5826</v>
      </c>
      <c r="J330" s="3" t="s">
        <v>5536</v>
      </c>
      <c r="K330" s="3" t="s">
        <v>5594</v>
      </c>
      <c r="L330" s="8" t="str">
        <f t="shared" si="4"/>
        <v xml:space="preserve">http://slimages.macys.com/is/image/MCY/9267398 </v>
      </c>
    </row>
    <row r="331" spans="1:12" ht="24.75" x14ac:dyDescent="0.25">
      <c r="A331" s="6" t="s">
        <v>497</v>
      </c>
      <c r="B331" s="3" t="s">
        <v>3244</v>
      </c>
      <c r="C331" s="4">
        <v>1</v>
      </c>
      <c r="D331" s="5">
        <v>24</v>
      </c>
      <c r="E331" s="4" t="s">
        <v>3245</v>
      </c>
      <c r="F331" s="3" t="s">
        <v>5578</v>
      </c>
      <c r="G331" s="7"/>
      <c r="H331" s="3" t="s">
        <v>5825</v>
      </c>
      <c r="I331" s="3" t="s">
        <v>6673</v>
      </c>
      <c r="J331" s="3" t="s">
        <v>5536</v>
      </c>
      <c r="K331" s="3" t="s">
        <v>5553</v>
      </c>
      <c r="L331" s="8" t="str">
        <f>HYPERLINK("http://slimages.macys.com/is/image/MCY/8974187 ")</f>
        <v xml:space="preserve">http://slimages.macys.com/is/image/MCY/8974187 </v>
      </c>
    </row>
    <row r="332" spans="1:12" ht="24.75" x14ac:dyDescent="0.25">
      <c r="A332" s="6" t="s">
        <v>498</v>
      </c>
      <c r="B332" s="3" t="s">
        <v>499</v>
      </c>
      <c r="C332" s="4">
        <v>1</v>
      </c>
      <c r="D332" s="5">
        <v>18</v>
      </c>
      <c r="E332" s="4" t="s">
        <v>500</v>
      </c>
      <c r="F332" s="3" t="s">
        <v>5532</v>
      </c>
      <c r="G332" s="7" t="s">
        <v>6252</v>
      </c>
      <c r="H332" s="3" t="s">
        <v>5606</v>
      </c>
      <c r="I332" s="3" t="s">
        <v>6258</v>
      </c>
      <c r="J332" s="3" t="s">
        <v>5536</v>
      </c>
      <c r="K332" s="3" t="s">
        <v>5594</v>
      </c>
      <c r="L332" s="8" t="str">
        <f>HYPERLINK("http://slimages.macys.com/is/image/MCY/12806313 ")</f>
        <v xml:space="preserve">http://slimages.macys.com/is/image/MCY/12806313 </v>
      </c>
    </row>
    <row r="333" spans="1:12" ht="24.75" x14ac:dyDescent="0.25">
      <c r="A333" s="6" t="s">
        <v>4327</v>
      </c>
      <c r="B333" s="3" t="s">
        <v>4328</v>
      </c>
      <c r="C333" s="4">
        <v>1</v>
      </c>
      <c r="D333" s="5">
        <v>23.34</v>
      </c>
      <c r="E333" s="4" t="s">
        <v>4329</v>
      </c>
      <c r="F333" s="3" t="s">
        <v>5532</v>
      </c>
      <c r="G333" s="7" t="s">
        <v>5898</v>
      </c>
      <c r="H333" s="3" t="s">
        <v>6280</v>
      </c>
      <c r="I333" s="3" t="s">
        <v>4330</v>
      </c>
      <c r="J333" s="3" t="s">
        <v>5536</v>
      </c>
      <c r="K333" s="3" t="s">
        <v>6338</v>
      </c>
      <c r="L333" s="8" t="str">
        <f>HYPERLINK("http://slimages.macys.com/is/image/MCY/15883535 ")</f>
        <v xml:space="preserve">http://slimages.macys.com/is/image/MCY/15883535 </v>
      </c>
    </row>
    <row r="334" spans="1:12" x14ac:dyDescent="0.25">
      <c r="A334" s="6" t="s">
        <v>501</v>
      </c>
      <c r="B334" s="3" t="s">
        <v>3763</v>
      </c>
      <c r="C334" s="4">
        <v>1</v>
      </c>
      <c r="D334" s="5">
        <v>18</v>
      </c>
      <c r="E334" s="4" t="s">
        <v>3764</v>
      </c>
      <c r="F334" s="3" t="s">
        <v>7010</v>
      </c>
      <c r="G334" s="7" t="s">
        <v>6252</v>
      </c>
      <c r="H334" s="3" t="s">
        <v>5606</v>
      </c>
      <c r="I334" s="3" t="s">
        <v>6258</v>
      </c>
      <c r="J334" s="3" t="s">
        <v>5536</v>
      </c>
      <c r="K334" s="3" t="s">
        <v>5553</v>
      </c>
      <c r="L334" s="8" t="str">
        <f>HYPERLINK("http://slimages.macys.com/is/image/MCY/12806827 ")</f>
        <v xml:space="preserve">http://slimages.macys.com/is/image/MCY/12806827 </v>
      </c>
    </row>
    <row r="335" spans="1:12" x14ac:dyDescent="0.25">
      <c r="A335" s="6" t="s">
        <v>502</v>
      </c>
      <c r="B335" s="3" t="s">
        <v>503</v>
      </c>
      <c r="C335" s="4">
        <v>1</v>
      </c>
      <c r="D335" s="5">
        <v>18</v>
      </c>
      <c r="E335" s="4" t="s">
        <v>504</v>
      </c>
      <c r="F335" s="3" t="s">
        <v>5661</v>
      </c>
      <c r="G335" s="7" t="s">
        <v>6252</v>
      </c>
      <c r="H335" s="3" t="s">
        <v>5606</v>
      </c>
      <c r="I335" s="3" t="s">
        <v>6258</v>
      </c>
      <c r="J335" s="3" t="s">
        <v>5536</v>
      </c>
      <c r="K335" s="3" t="s">
        <v>5553</v>
      </c>
      <c r="L335" s="8" t="str">
        <f>HYPERLINK("http://slimages.macys.com/is/image/MCY/11644356 ")</f>
        <v xml:space="preserve">http://slimages.macys.com/is/image/MCY/11644356 </v>
      </c>
    </row>
    <row r="336" spans="1:12" ht="24.75" x14ac:dyDescent="0.25">
      <c r="A336" s="6" t="s">
        <v>505</v>
      </c>
      <c r="B336" s="3" t="s">
        <v>2475</v>
      </c>
      <c r="C336" s="4">
        <v>1</v>
      </c>
      <c r="D336" s="5">
        <v>23</v>
      </c>
      <c r="E336" s="4">
        <v>100005305</v>
      </c>
      <c r="F336" s="3" t="s">
        <v>5532</v>
      </c>
      <c r="G336" s="7" t="s">
        <v>5835</v>
      </c>
      <c r="H336" s="3" t="s">
        <v>5825</v>
      </c>
      <c r="I336" s="3" t="s">
        <v>5826</v>
      </c>
      <c r="J336" s="3" t="s">
        <v>5536</v>
      </c>
      <c r="K336" s="3" t="s">
        <v>5594</v>
      </c>
      <c r="L336" s="8" t="str">
        <f>HYPERLINK("http://slimages.macys.com/is/image/MCY/9228910 ")</f>
        <v xml:space="preserve">http://slimages.macys.com/is/image/MCY/9228910 </v>
      </c>
    </row>
    <row r="337" spans="1:12" x14ac:dyDescent="0.25">
      <c r="A337" s="6" t="s">
        <v>4337</v>
      </c>
      <c r="B337" s="3" t="s">
        <v>4336</v>
      </c>
      <c r="C337" s="4">
        <v>4</v>
      </c>
      <c r="D337" s="5">
        <v>80</v>
      </c>
      <c r="E337" s="4">
        <v>5149083</v>
      </c>
      <c r="F337" s="3" t="s">
        <v>5540</v>
      </c>
      <c r="G337" s="7" t="s">
        <v>5898</v>
      </c>
      <c r="H337" s="3" t="s">
        <v>4333</v>
      </c>
      <c r="I337" s="3" t="s">
        <v>4334</v>
      </c>
      <c r="J337" s="3" t="s">
        <v>5536</v>
      </c>
      <c r="K337" s="3" t="s">
        <v>5984</v>
      </c>
      <c r="L337" s="8" t="str">
        <f>HYPERLINK("http://slimages.macys.com/is/image/MCY/15434408 ")</f>
        <v xml:space="preserve">http://slimages.macys.com/is/image/MCY/15434408 </v>
      </c>
    </row>
    <row r="338" spans="1:12" x14ac:dyDescent="0.25">
      <c r="A338" s="6" t="s">
        <v>506</v>
      </c>
      <c r="B338" s="3" t="s">
        <v>4336</v>
      </c>
      <c r="C338" s="4">
        <v>1</v>
      </c>
      <c r="D338" s="5">
        <v>20</v>
      </c>
      <c r="E338" s="4">
        <v>5149084</v>
      </c>
      <c r="F338" s="3" t="s">
        <v>5540</v>
      </c>
      <c r="G338" s="7" t="s">
        <v>5898</v>
      </c>
      <c r="H338" s="3" t="s">
        <v>4333</v>
      </c>
      <c r="I338" s="3" t="s">
        <v>4334</v>
      </c>
      <c r="J338" s="3" t="s">
        <v>5536</v>
      </c>
      <c r="K338" s="3" t="s">
        <v>5984</v>
      </c>
      <c r="L338" s="8" t="str">
        <f>HYPERLINK("http://slimages.macys.com/is/image/MCY/15434408 ")</f>
        <v xml:space="preserve">http://slimages.macys.com/is/image/MCY/15434408 </v>
      </c>
    </row>
    <row r="339" spans="1:12" ht="24.75" x14ac:dyDescent="0.25">
      <c r="A339" s="6" t="s">
        <v>507</v>
      </c>
      <c r="B339" s="3" t="s">
        <v>508</v>
      </c>
      <c r="C339" s="4">
        <v>1</v>
      </c>
      <c r="D339" s="5">
        <v>20</v>
      </c>
      <c r="E339" s="4">
        <v>5149144</v>
      </c>
      <c r="F339" s="3" t="s">
        <v>5977</v>
      </c>
      <c r="G339" s="7" t="s">
        <v>5898</v>
      </c>
      <c r="H339" s="3" t="s">
        <v>4333</v>
      </c>
      <c r="I339" s="3" t="s">
        <v>4334</v>
      </c>
      <c r="J339" s="3" t="s">
        <v>5536</v>
      </c>
      <c r="K339" s="3" t="s">
        <v>5984</v>
      </c>
      <c r="L339" s="8" t="str">
        <f>HYPERLINK("http://slimages.macys.com/is/image/MCY/15433316 ")</f>
        <v xml:space="preserve">http://slimages.macys.com/is/image/MCY/15433316 </v>
      </c>
    </row>
    <row r="340" spans="1:12" ht="24.75" x14ac:dyDescent="0.25">
      <c r="A340" s="6" t="s">
        <v>4331</v>
      </c>
      <c r="B340" s="3" t="s">
        <v>4332</v>
      </c>
      <c r="C340" s="4">
        <v>2</v>
      </c>
      <c r="D340" s="5">
        <v>40</v>
      </c>
      <c r="E340" s="4">
        <v>5149097</v>
      </c>
      <c r="F340" s="3" t="s">
        <v>5977</v>
      </c>
      <c r="G340" s="7" t="s">
        <v>5898</v>
      </c>
      <c r="H340" s="3" t="s">
        <v>4333</v>
      </c>
      <c r="I340" s="3" t="s">
        <v>4334</v>
      </c>
      <c r="J340" s="3" t="s">
        <v>5536</v>
      </c>
      <c r="K340" s="3" t="s">
        <v>5984</v>
      </c>
      <c r="L340" s="8" t="str">
        <f>HYPERLINK("http://slimages.macys.com/is/image/MCY/15433408 ")</f>
        <v xml:space="preserve">http://slimages.macys.com/is/image/MCY/15433408 </v>
      </c>
    </row>
    <row r="341" spans="1:12" ht="24.75" x14ac:dyDescent="0.25">
      <c r="A341" s="6" t="s">
        <v>5085</v>
      </c>
      <c r="B341" s="3" t="s">
        <v>4332</v>
      </c>
      <c r="C341" s="4">
        <v>3</v>
      </c>
      <c r="D341" s="5">
        <v>60</v>
      </c>
      <c r="E341" s="4">
        <v>5149100</v>
      </c>
      <c r="F341" s="3" t="s">
        <v>5811</v>
      </c>
      <c r="G341" s="7" t="s">
        <v>5898</v>
      </c>
      <c r="H341" s="3" t="s">
        <v>4333</v>
      </c>
      <c r="I341" s="3" t="s">
        <v>4334</v>
      </c>
      <c r="J341" s="3" t="s">
        <v>5536</v>
      </c>
      <c r="K341" s="3" t="s">
        <v>5984</v>
      </c>
      <c r="L341" s="8" t="str">
        <f>HYPERLINK("http://slimages.macys.com/is/image/MCY/15433408 ")</f>
        <v xml:space="preserve">http://slimages.macys.com/is/image/MCY/15433408 </v>
      </c>
    </row>
    <row r="342" spans="1:12" ht="24.75" x14ac:dyDescent="0.25">
      <c r="A342" s="6" t="s">
        <v>509</v>
      </c>
      <c r="B342" s="3" t="s">
        <v>510</v>
      </c>
      <c r="C342" s="4">
        <v>1</v>
      </c>
      <c r="D342" s="5">
        <v>19.5</v>
      </c>
      <c r="E342" s="4" t="s">
        <v>511</v>
      </c>
      <c r="F342" s="3" t="s">
        <v>5887</v>
      </c>
      <c r="G342" s="7" t="s">
        <v>5562</v>
      </c>
      <c r="H342" s="3" t="s">
        <v>7206</v>
      </c>
      <c r="I342" s="3" t="s">
        <v>7207</v>
      </c>
      <c r="J342" s="3" t="s">
        <v>5536</v>
      </c>
      <c r="K342" s="3" t="s">
        <v>5553</v>
      </c>
      <c r="L342" s="8" t="str">
        <f>HYPERLINK("http://slimages.macys.com/is/image/MCY/8276098 ")</f>
        <v xml:space="preserve">http://slimages.macys.com/is/image/MCY/8276098 </v>
      </c>
    </row>
    <row r="343" spans="1:12" ht="36.75" x14ac:dyDescent="0.25">
      <c r="A343" s="6" t="s">
        <v>512</v>
      </c>
      <c r="B343" s="3" t="s">
        <v>4339</v>
      </c>
      <c r="C343" s="4">
        <v>1</v>
      </c>
      <c r="D343" s="5">
        <v>24.99</v>
      </c>
      <c r="E343" s="4" t="s">
        <v>4340</v>
      </c>
      <c r="F343" s="3" t="s">
        <v>5552</v>
      </c>
      <c r="G343" s="7" t="s">
        <v>5560</v>
      </c>
      <c r="H343" s="3" t="s">
        <v>6608</v>
      </c>
      <c r="I343" s="3" t="s">
        <v>6609</v>
      </c>
      <c r="J343" s="3" t="s">
        <v>5536</v>
      </c>
      <c r="K343" s="3" t="s">
        <v>4341</v>
      </c>
      <c r="L343" s="8" t="str">
        <f>HYPERLINK("http://slimages.macys.com/is/image/MCY/9843044 ")</f>
        <v xml:space="preserve">http://slimages.macys.com/is/image/MCY/9843044 </v>
      </c>
    </row>
    <row r="344" spans="1:12" ht="24.75" x14ac:dyDescent="0.25">
      <c r="A344" s="6" t="s">
        <v>513</v>
      </c>
      <c r="B344" s="3" t="s">
        <v>6606</v>
      </c>
      <c r="C344" s="4">
        <v>1</v>
      </c>
      <c r="D344" s="5">
        <v>24.99</v>
      </c>
      <c r="E344" s="4" t="s">
        <v>6607</v>
      </c>
      <c r="F344" s="3" t="s">
        <v>5552</v>
      </c>
      <c r="G344" s="7" t="s">
        <v>5560</v>
      </c>
      <c r="H344" s="3" t="s">
        <v>6608</v>
      </c>
      <c r="I344" s="3" t="s">
        <v>6609</v>
      </c>
      <c r="J344" s="3" t="s">
        <v>5536</v>
      </c>
      <c r="K344" s="3" t="s">
        <v>6610</v>
      </c>
      <c r="L344" s="8" t="str">
        <f>HYPERLINK("http://slimages.macys.com/is/image/MCY/14311832 ")</f>
        <v xml:space="preserve">http://slimages.macys.com/is/image/MCY/14311832 </v>
      </c>
    </row>
    <row r="345" spans="1:12" ht="36.75" x14ac:dyDescent="0.25">
      <c r="A345" s="6" t="s">
        <v>6615</v>
      </c>
      <c r="B345" s="3" t="s">
        <v>6612</v>
      </c>
      <c r="C345" s="4">
        <v>1</v>
      </c>
      <c r="D345" s="5">
        <v>20.88</v>
      </c>
      <c r="E345" s="4" t="s">
        <v>6613</v>
      </c>
      <c r="F345" s="3" t="s">
        <v>5540</v>
      </c>
      <c r="G345" s="7" t="s">
        <v>5596</v>
      </c>
      <c r="H345" s="3" t="s">
        <v>5842</v>
      </c>
      <c r="I345" s="3" t="s">
        <v>5843</v>
      </c>
      <c r="J345" s="3" t="s">
        <v>5536</v>
      </c>
      <c r="K345" s="3" t="s">
        <v>6614</v>
      </c>
      <c r="L345" s="8" t="str">
        <f>HYPERLINK("http://slimages.macys.com/is/image/MCY/15251823 ")</f>
        <v xml:space="preserve">http://slimages.macys.com/is/image/MCY/15251823 </v>
      </c>
    </row>
    <row r="346" spans="1:12" ht="24.75" x14ac:dyDescent="0.25">
      <c r="A346" s="6" t="s">
        <v>514</v>
      </c>
      <c r="B346" s="3" t="s">
        <v>515</v>
      </c>
      <c r="C346" s="4">
        <v>1</v>
      </c>
      <c r="D346" s="5">
        <v>23</v>
      </c>
      <c r="E346" s="4" t="s">
        <v>516</v>
      </c>
      <c r="F346" s="3" t="s">
        <v>5540</v>
      </c>
      <c r="G346" s="7" t="s">
        <v>5898</v>
      </c>
      <c r="H346" s="3" t="s">
        <v>4431</v>
      </c>
      <c r="I346" s="3" t="s">
        <v>517</v>
      </c>
      <c r="J346" s="3" t="s">
        <v>5536</v>
      </c>
      <c r="K346" s="3" t="s">
        <v>5574</v>
      </c>
      <c r="L346" s="8" t="str">
        <f>HYPERLINK("http://slimages.macys.com/is/image/MCY/11634941 ")</f>
        <v xml:space="preserve">http://slimages.macys.com/is/image/MCY/11634941 </v>
      </c>
    </row>
    <row r="347" spans="1:12" ht="24.75" x14ac:dyDescent="0.25">
      <c r="A347" s="6" t="s">
        <v>518</v>
      </c>
      <c r="B347" s="3" t="s">
        <v>519</v>
      </c>
      <c r="C347" s="4">
        <v>1</v>
      </c>
      <c r="D347" s="5">
        <v>20</v>
      </c>
      <c r="E347" s="4">
        <v>19350</v>
      </c>
      <c r="F347" s="3" t="s">
        <v>5540</v>
      </c>
      <c r="G347" s="7"/>
      <c r="H347" s="3" t="s">
        <v>5842</v>
      </c>
      <c r="I347" s="3" t="s">
        <v>520</v>
      </c>
      <c r="J347" s="3" t="s">
        <v>5536</v>
      </c>
      <c r="K347" s="3" t="s">
        <v>5727</v>
      </c>
      <c r="L347" s="8" t="str">
        <f>HYPERLINK("http://slimages.macys.com/is/image/MCY/14769941 ")</f>
        <v xml:space="preserve">http://slimages.macys.com/is/image/MCY/14769941 </v>
      </c>
    </row>
    <row r="348" spans="1:12" ht="24.75" x14ac:dyDescent="0.25">
      <c r="A348" s="6" t="s">
        <v>521</v>
      </c>
      <c r="B348" s="3" t="s">
        <v>5126</v>
      </c>
      <c r="C348" s="4">
        <v>1</v>
      </c>
      <c r="D348" s="5">
        <v>17.5</v>
      </c>
      <c r="E348" s="4" t="s">
        <v>5127</v>
      </c>
      <c r="F348" s="3" t="s">
        <v>5783</v>
      </c>
      <c r="G348" s="7" t="s">
        <v>5779</v>
      </c>
      <c r="H348" s="3" t="s">
        <v>5722</v>
      </c>
      <c r="I348" s="3" t="s">
        <v>5128</v>
      </c>
      <c r="J348" s="3" t="s">
        <v>5536</v>
      </c>
      <c r="K348" s="3" t="s">
        <v>5574</v>
      </c>
      <c r="L348" s="8" t="str">
        <f>HYPERLINK("http://slimages.macys.com/is/image/MCY/15817497 ")</f>
        <v xml:space="preserve">http://slimages.macys.com/is/image/MCY/15817497 </v>
      </c>
    </row>
    <row r="349" spans="1:12" ht="24.75" x14ac:dyDescent="0.25">
      <c r="A349" s="6" t="s">
        <v>522</v>
      </c>
      <c r="B349" s="3" t="s">
        <v>5126</v>
      </c>
      <c r="C349" s="4">
        <v>1</v>
      </c>
      <c r="D349" s="5">
        <v>17.5</v>
      </c>
      <c r="E349" s="4" t="s">
        <v>3321</v>
      </c>
      <c r="F349" s="3" t="s">
        <v>6983</v>
      </c>
      <c r="G349" s="7" t="s">
        <v>5779</v>
      </c>
      <c r="H349" s="3" t="s">
        <v>5722</v>
      </c>
      <c r="I349" s="3" t="s">
        <v>5128</v>
      </c>
      <c r="J349" s="3" t="s">
        <v>5536</v>
      </c>
      <c r="K349" s="3" t="s">
        <v>5574</v>
      </c>
      <c r="L349" s="8" t="str">
        <f>HYPERLINK("http://slimages.macys.com/is/image/MCY/15817497 ")</f>
        <v xml:space="preserve">http://slimages.macys.com/is/image/MCY/15817497 </v>
      </c>
    </row>
    <row r="350" spans="1:12" ht="48.75" x14ac:dyDescent="0.25">
      <c r="A350" s="6" t="s">
        <v>523</v>
      </c>
      <c r="B350" s="3" t="s">
        <v>524</v>
      </c>
      <c r="C350" s="4">
        <v>1</v>
      </c>
      <c r="D350" s="5">
        <v>14.99</v>
      </c>
      <c r="E350" s="4" t="s">
        <v>4398</v>
      </c>
      <c r="F350" s="3" t="s">
        <v>5532</v>
      </c>
      <c r="G350" s="7" t="s">
        <v>6252</v>
      </c>
      <c r="H350" s="3" t="s">
        <v>4141</v>
      </c>
      <c r="I350" s="3" t="s">
        <v>5843</v>
      </c>
      <c r="J350" s="3" t="s">
        <v>5536</v>
      </c>
      <c r="K350" s="3" t="s">
        <v>4399</v>
      </c>
      <c r="L350" s="8" t="str">
        <f>HYPERLINK("http://slimages.macys.com/is/image/MCY/15209608 ")</f>
        <v xml:space="preserve">http://slimages.macys.com/is/image/MCY/15209608 </v>
      </c>
    </row>
    <row r="351" spans="1:12" ht="24.75" x14ac:dyDescent="0.25">
      <c r="A351" s="6" t="s">
        <v>525</v>
      </c>
      <c r="B351" s="3" t="s">
        <v>526</v>
      </c>
      <c r="C351" s="4">
        <v>1</v>
      </c>
      <c r="D351" s="5">
        <v>24</v>
      </c>
      <c r="E351" s="4" t="s">
        <v>527</v>
      </c>
      <c r="F351" s="3" t="s">
        <v>5540</v>
      </c>
      <c r="G351" s="7" t="s">
        <v>5898</v>
      </c>
      <c r="H351" s="3" t="s">
        <v>4333</v>
      </c>
      <c r="I351" s="3" t="s">
        <v>528</v>
      </c>
      <c r="J351" s="3" t="s">
        <v>5536</v>
      </c>
      <c r="K351" s="3" t="s">
        <v>5727</v>
      </c>
      <c r="L351" s="8" t="str">
        <f>HYPERLINK("http://slimages.macys.com/is/image/MCY/15353833 ")</f>
        <v xml:space="preserve">http://slimages.macys.com/is/image/MCY/15353833 </v>
      </c>
    </row>
    <row r="352" spans="1:12" ht="24.75" x14ac:dyDescent="0.25">
      <c r="A352" s="6" t="s">
        <v>529</v>
      </c>
      <c r="B352" s="3" t="s">
        <v>530</v>
      </c>
      <c r="C352" s="4">
        <v>3</v>
      </c>
      <c r="D352" s="5">
        <v>52.5</v>
      </c>
      <c r="E352" s="4" t="s">
        <v>531</v>
      </c>
      <c r="F352" s="3" t="s">
        <v>5798</v>
      </c>
      <c r="G352" s="7" t="s">
        <v>6772</v>
      </c>
      <c r="H352" s="3" t="s">
        <v>5842</v>
      </c>
      <c r="I352" s="3" t="s">
        <v>6773</v>
      </c>
      <c r="J352" s="3" t="s">
        <v>5536</v>
      </c>
      <c r="K352" s="3" t="s">
        <v>6774</v>
      </c>
      <c r="L352" s="8" t="str">
        <f>HYPERLINK("http://slimages.macys.com/is/image/MCY/14746707 ")</f>
        <v xml:space="preserve">http://slimages.macys.com/is/image/MCY/14746707 </v>
      </c>
    </row>
    <row r="353" spans="1:12" ht="24.75" x14ac:dyDescent="0.25">
      <c r="A353" s="6" t="s">
        <v>5173</v>
      </c>
      <c r="B353" s="3" t="s">
        <v>5149</v>
      </c>
      <c r="C353" s="4">
        <v>1</v>
      </c>
      <c r="D353" s="5">
        <v>19.989999999999998</v>
      </c>
      <c r="E353" s="4">
        <v>10008453900</v>
      </c>
      <c r="F353" s="3" t="s">
        <v>5540</v>
      </c>
      <c r="G353" s="7" t="s">
        <v>6252</v>
      </c>
      <c r="H353" s="3" t="s">
        <v>6652</v>
      </c>
      <c r="I353" s="3" t="s">
        <v>6681</v>
      </c>
      <c r="J353" s="3" t="s">
        <v>5536</v>
      </c>
      <c r="K353" s="3" t="s">
        <v>6316</v>
      </c>
      <c r="L353" s="8" t="str">
        <f>HYPERLINK("http://slimages.macys.com/is/image/MCY/15916956 ")</f>
        <v xml:space="preserve">http://slimages.macys.com/is/image/MCY/15916956 </v>
      </c>
    </row>
    <row r="354" spans="1:12" ht="24.75" x14ac:dyDescent="0.25">
      <c r="A354" s="6" t="s">
        <v>532</v>
      </c>
      <c r="B354" s="3" t="s">
        <v>2527</v>
      </c>
      <c r="C354" s="4">
        <v>1</v>
      </c>
      <c r="D354" s="5">
        <v>19.989999999999998</v>
      </c>
      <c r="E354" s="4">
        <v>10008526400</v>
      </c>
      <c r="F354" s="3" t="s">
        <v>5661</v>
      </c>
      <c r="G354" s="7" t="s">
        <v>6252</v>
      </c>
      <c r="H354" s="3" t="s">
        <v>6652</v>
      </c>
      <c r="I354" s="3" t="s">
        <v>6686</v>
      </c>
      <c r="J354" s="3" t="s">
        <v>5536</v>
      </c>
      <c r="K354" s="3" t="s">
        <v>6316</v>
      </c>
      <c r="L354" s="8" t="str">
        <f>HYPERLINK("http://slimages.macys.com/is/image/MCY/14814906 ")</f>
        <v xml:space="preserve">http://slimages.macys.com/is/image/MCY/14814906 </v>
      </c>
    </row>
    <row r="355" spans="1:12" ht="24.75" x14ac:dyDescent="0.25">
      <c r="A355" s="6" t="s">
        <v>533</v>
      </c>
      <c r="B355" s="3" t="s">
        <v>534</v>
      </c>
      <c r="C355" s="4">
        <v>1</v>
      </c>
      <c r="D355" s="5">
        <v>19.989999999999998</v>
      </c>
      <c r="E355" s="4">
        <v>10008575900</v>
      </c>
      <c r="F355" s="3" t="s">
        <v>5532</v>
      </c>
      <c r="G355" s="7" t="s">
        <v>6252</v>
      </c>
      <c r="H355" s="3" t="s">
        <v>6652</v>
      </c>
      <c r="I355" s="3" t="s">
        <v>6686</v>
      </c>
      <c r="J355" s="3" t="s">
        <v>5536</v>
      </c>
      <c r="K355" s="3" t="s">
        <v>6303</v>
      </c>
      <c r="L355" s="8" t="str">
        <f>HYPERLINK("http://slimages.macys.com/is/image/MCY/15271867 ")</f>
        <v xml:space="preserve">http://slimages.macys.com/is/image/MCY/15271867 </v>
      </c>
    </row>
    <row r="356" spans="1:12" ht="24.75" x14ac:dyDescent="0.25">
      <c r="A356" s="6" t="s">
        <v>6715</v>
      </c>
      <c r="B356" s="3" t="s">
        <v>6657</v>
      </c>
      <c r="C356" s="4">
        <v>1</v>
      </c>
      <c r="D356" s="5">
        <v>19.989999999999998</v>
      </c>
      <c r="E356" s="4">
        <v>10008582700</v>
      </c>
      <c r="F356" s="3" t="s">
        <v>5661</v>
      </c>
      <c r="G356" s="7" t="s">
        <v>6252</v>
      </c>
      <c r="H356" s="3" t="s">
        <v>6652</v>
      </c>
      <c r="I356" s="3" t="s">
        <v>6681</v>
      </c>
      <c r="J356" s="3" t="s">
        <v>5536</v>
      </c>
      <c r="K356" s="3" t="s">
        <v>6316</v>
      </c>
      <c r="L356" s="8" t="str">
        <f>HYPERLINK("http://slimages.macys.com/is/image/MCY/15611837 ")</f>
        <v xml:space="preserve">http://slimages.macys.com/is/image/MCY/15611837 </v>
      </c>
    </row>
    <row r="357" spans="1:12" ht="24.75" x14ac:dyDescent="0.25">
      <c r="A357" s="6" t="s">
        <v>535</v>
      </c>
      <c r="B357" s="3" t="s">
        <v>536</v>
      </c>
      <c r="C357" s="4">
        <v>2</v>
      </c>
      <c r="D357" s="5">
        <v>39.979999999999997</v>
      </c>
      <c r="E357" s="4">
        <v>10007796000</v>
      </c>
      <c r="F357" s="3" t="s">
        <v>5532</v>
      </c>
      <c r="G357" s="7" t="s">
        <v>6252</v>
      </c>
      <c r="H357" s="3" t="s">
        <v>6652</v>
      </c>
      <c r="I357" s="3" t="s">
        <v>6686</v>
      </c>
      <c r="J357" s="3" t="s">
        <v>5536</v>
      </c>
      <c r="K357" s="3" t="s">
        <v>6316</v>
      </c>
      <c r="L357" s="8" t="str">
        <f>HYPERLINK("http://slimages.macys.com/is/image/MCY/15131699 ")</f>
        <v xml:space="preserve">http://slimages.macys.com/is/image/MCY/15131699 </v>
      </c>
    </row>
    <row r="358" spans="1:12" ht="24.75" x14ac:dyDescent="0.25">
      <c r="A358" s="6" t="s">
        <v>537</v>
      </c>
      <c r="B358" s="3" t="s">
        <v>6722</v>
      </c>
      <c r="C358" s="4">
        <v>1</v>
      </c>
      <c r="D358" s="5">
        <v>19.989999999999998</v>
      </c>
      <c r="E358" s="4">
        <v>10007797100</v>
      </c>
      <c r="F358" s="3" t="s">
        <v>5532</v>
      </c>
      <c r="G358" s="7" t="s">
        <v>6252</v>
      </c>
      <c r="H358" s="3" t="s">
        <v>6652</v>
      </c>
      <c r="I358" s="3" t="s">
        <v>6686</v>
      </c>
      <c r="J358" s="3" t="s">
        <v>5536</v>
      </c>
      <c r="K358" s="3" t="s">
        <v>6316</v>
      </c>
      <c r="L358" s="8" t="str">
        <f>HYPERLINK("http://slimages.macys.com/is/image/MCY/13936361 ")</f>
        <v xml:space="preserve">http://slimages.macys.com/is/image/MCY/13936361 </v>
      </c>
    </row>
    <row r="359" spans="1:12" ht="24.75" x14ac:dyDescent="0.25">
      <c r="A359" s="6" t="s">
        <v>2535</v>
      </c>
      <c r="B359" s="3" t="s">
        <v>2536</v>
      </c>
      <c r="C359" s="4">
        <v>1</v>
      </c>
      <c r="D359" s="5">
        <v>19.989999999999998</v>
      </c>
      <c r="E359" s="4">
        <v>10007797900</v>
      </c>
      <c r="F359" s="3" t="s">
        <v>6335</v>
      </c>
      <c r="G359" s="7" t="s">
        <v>6252</v>
      </c>
      <c r="H359" s="3" t="s">
        <v>6652</v>
      </c>
      <c r="I359" s="3" t="s">
        <v>6681</v>
      </c>
      <c r="J359" s="3" t="s">
        <v>5536</v>
      </c>
      <c r="K359" s="3" t="s">
        <v>6316</v>
      </c>
      <c r="L359" s="8" t="str">
        <f>HYPERLINK("http://slimages.macys.com/is/image/MCY/14912106 ")</f>
        <v xml:space="preserve">http://slimages.macys.com/is/image/MCY/14912106 </v>
      </c>
    </row>
    <row r="360" spans="1:12" ht="24.75" x14ac:dyDescent="0.25">
      <c r="A360" s="6" t="s">
        <v>538</v>
      </c>
      <c r="B360" s="3" t="s">
        <v>539</v>
      </c>
      <c r="C360" s="4">
        <v>2</v>
      </c>
      <c r="D360" s="5">
        <v>39.979999999999997</v>
      </c>
      <c r="E360" s="4">
        <v>10007023200</v>
      </c>
      <c r="F360" s="3" t="s">
        <v>5532</v>
      </c>
      <c r="G360" s="7" t="s">
        <v>6252</v>
      </c>
      <c r="H360" s="3" t="s">
        <v>6652</v>
      </c>
      <c r="I360" s="3" t="s">
        <v>6681</v>
      </c>
      <c r="J360" s="3" t="s">
        <v>5536</v>
      </c>
      <c r="K360" s="3" t="s">
        <v>6338</v>
      </c>
      <c r="L360" s="8" t="str">
        <f>HYPERLINK("http://slimages.macys.com/is/image/MCY/13287475 ")</f>
        <v xml:space="preserve">http://slimages.macys.com/is/image/MCY/13287475 </v>
      </c>
    </row>
    <row r="361" spans="1:12" ht="24.75" x14ac:dyDescent="0.25">
      <c r="A361" s="6" t="s">
        <v>540</v>
      </c>
      <c r="B361" s="3" t="s">
        <v>541</v>
      </c>
      <c r="C361" s="4">
        <v>1</v>
      </c>
      <c r="D361" s="5">
        <v>19.989999999999998</v>
      </c>
      <c r="E361" s="4">
        <v>10007798300</v>
      </c>
      <c r="F361" s="3" t="s">
        <v>5661</v>
      </c>
      <c r="G361" s="7" t="s">
        <v>6252</v>
      </c>
      <c r="H361" s="3" t="s">
        <v>6652</v>
      </c>
      <c r="I361" s="3" t="s">
        <v>6681</v>
      </c>
      <c r="J361" s="3" t="s">
        <v>5536</v>
      </c>
      <c r="K361" s="3" t="s">
        <v>6316</v>
      </c>
      <c r="L361" s="8" t="str">
        <f>HYPERLINK("http://slimages.macys.com/is/image/MCY/14912131 ")</f>
        <v xml:space="preserve">http://slimages.macys.com/is/image/MCY/14912131 </v>
      </c>
    </row>
    <row r="362" spans="1:12" ht="24.75" x14ac:dyDescent="0.25">
      <c r="A362" s="6" t="s">
        <v>542</v>
      </c>
      <c r="B362" s="3" t="s">
        <v>543</v>
      </c>
      <c r="C362" s="4">
        <v>1</v>
      </c>
      <c r="D362" s="5">
        <v>19.989999999999998</v>
      </c>
      <c r="E362" s="4">
        <v>10006040400</v>
      </c>
      <c r="F362" s="3" t="s">
        <v>5610</v>
      </c>
      <c r="G362" s="7" t="s">
        <v>6252</v>
      </c>
      <c r="H362" s="3" t="s">
        <v>6652</v>
      </c>
      <c r="I362" s="3" t="s">
        <v>6681</v>
      </c>
      <c r="J362" s="3" t="s">
        <v>5536</v>
      </c>
      <c r="K362" s="3" t="s">
        <v>5727</v>
      </c>
      <c r="L362" s="8" t="str">
        <f>HYPERLINK("http://slimages.macys.com/is/image/MCY/11858096 ")</f>
        <v xml:space="preserve">http://slimages.macys.com/is/image/MCY/11858096 </v>
      </c>
    </row>
    <row r="363" spans="1:12" ht="24.75" x14ac:dyDescent="0.25">
      <c r="A363" s="6" t="s">
        <v>544</v>
      </c>
      <c r="B363" s="3" t="s">
        <v>2534</v>
      </c>
      <c r="C363" s="4">
        <v>1</v>
      </c>
      <c r="D363" s="5">
        <v>19.989999999999998</v>
      </c>
      <c r="E363" s="4">
        <v>10007797400</v>
      </c>
      <c r="F363" s="3" t="s">
        <v>5661</v>
      </c>
      <c r="G363" s="7" t="s">
        <v>6252</v>
      </c>
      <c r="H363" s="3" t="s">
        <v>6652</v>
      </c>
      <c r="I363" s="3" t="s">
        <v>6681</v>
      </c>
      <c r="J363" s="3" t="s">
        <v>5536</v>
      </c>
      <c r="K363" s="3" t="s">
        <v>6316</v>
      </c>
      <c r="L363" s="8" t="str">
        <f>HYPERLINK("http://slimages.macys.com/is/image/MCY/13784242 ")</f>
        <v xml:space="preserve">http://slimages.macys.com/is/image/MCY/13784242 </v>
      </c>
    </row>
    <row r="364" spans="1:12" ht="24.75" x14ac:dyDescent="0.25">
      <c r="A364" s="6" t="s">
        <v>5146</v>
      </c>
      <c r="B364" s="3" t="s">
        <v>5147</v>
      </c>
      <c r="C364" s="4">
        <v>1</v>
      </c>
      <c r="D364" s="5">
        <v>19.989999999999998</v>
      </c>
      <c r="E364" s="4">
        <v>10007797700</v>
      </c>
      <c r="F364" s="3" t="s">
        <v>5532</v>
      </c>
      <c r="G364" s="7" t="s">
        <v>6252</v>
      </c>
      <c r="H364" s="3" t="s">
        <v>6652</v>
      </c>
      <c r="I364" s="3" t="s">
        <v>6681</v>
      </c>
      <c r="J364" s="3" t="s">
        <v>5536</v>
      </c>
      <c r="K364" s="3" t="s">
        <v>6316</v>
      </c>
      <c r="L364" s="8" t="str">
        <f>HYPERLINK("http://slimages.macys.com/is/image/MCY/14912093 ")</f>
        <v xml:space="preserve">http://slimages.macys.com/is/image/MCY/14912093 </v>
      </c>
    </row>
    <row r="365" spans="1:12" ht="24.75" x14ac:dyDescent="0.25">
      <c r="A365" s="6" t="s">
        <v>545</v>
      </c>
      <c r="B365" s="3" t="s">
        <v>541</v>
      </c>
      <c r="C365" s="4">
        <v>1</v>
      </c>
      <c r="D365" s="5">
        <v>19.989999999999998</v>
      </c>
      <c r="E365" s="4">
        <v>10007798300</v>
      </c>
      <c r="F365" s="3" t="s">
        <v>5540</v>
      </c>
      <c r="G365" s="7" t="s">
        <v>6252</v>
      </c>
      <c r="H365" s="3" t="s">
        <v>6652</v>
      </c>
      <c r="I365" s="3" t="s">
        <v>6681</v>
      </c>
      <c r="J365" s="3" t="s">
        <v>5536</v>
      </c>
      <c r="K365" s="3" t="s">
        <v>6316</v>
      </c>
      <c r="L365" s="8" t="str">
        <f>HYPERLINK("http://slimages.macys.com/is/image/MCY/14912131 ")</f>
        <v xml:space="preserve">http://slimages.macys.com/is/image/MCY/14912131 </v>
      </c>
    </row>
    <row r="366" spans="1:12" ht="24.75" x14ac:dyDescent="0.25">
      <c r="A366" s="6" t="s">
        <v>546</v>
      </c>
      <c r="B366" s="3" t="s">
        <v>547</v>
      </c>
      <c r="C366" s="4">
        <v>1</v>
      </c>
      <c r="D366" s="5">
        <v>19.989999999999998</v>
      </c>
      <c r="E366" s="4">
        <v>10006040200</v>
      </c>
      <c r="F366" s="3" t="s">
        <v>5540</v>
      </c>
      <c r="G366" s="7" t="s">
        <v>6252</v>
      </c>
      <c r="H366" s="3" t="s">
        <v>6652</v>
      </c>
      <c r="I366" s="3" t="s">
        <v>6681</v>
      </c>
      <c r="J366" s="3" t="s">
        <v>5536</v>
      </c>
      <c r="K366" s="3" t="s">
        <v>6338</v>
      </c>
      <c r="L366" s="8" t="str">
        <f>HYPERLINK("http://slimages.macys.com/is/image/MCY/11465091 ")</f>
        <v xml:space="preserve">http://slimages.macys.com/is/image/MCY/11465091 </v>
      </c>
    </row>
    <row r="367" spans="1:12" ht="24.75" x14ac:dyDescent="0.25">
      <c r="A367" s="6" t="s">
        <v>548</v>
      </c>
      <c r="B367" s="3" t="s">
        <v>549</v>
      </c>
      <c r="C367" s="4">
        <v>1</v>
      </c>
      <c r="D367" s="5">
        <v>19.989999999999998</v>
      </c>
      <c r="E367" s="4">
        <v>10007798000</v>
      </c>
      <c r="F367" s="3" t="s">
        <v>5625</v>
      </c>
      <c r="G367" s="7" t="s">
        <v>6252</v>
      </c>
      <c r="H367" s="3" t="s">
        <v>6652</v>
      </c>
      <c r="I367" s="3" t="s">
        <v>6681</v>
      </c>
      <c r="J367" s="3" t="s">
        <v>5536</v>
      </c>
      <c r="K367" s="3" t="s">
        <v>6338</v>
      </c>
      <c r="L367" s="8" t="str">
        <f>HYPERLINK("http://slimages.macys.com/is/image/MCY/14912116 ")</f>
        <v xml:space="preserve">http://slimages.macys.com/is/image/MCY/14912116 </v>
      </c>
    </row>
    <row r="368" spans="1:12" ht="24.75" x14ac:dyDescent="0.25">
      <c r="A368" s="6" t="s">
        <v>550</v>
      </c>
      <c r="B368" s="3" t="s">
        <v>5141</v>
      </c>
      <c r="C368" s="4">
        <v>1</v>
      </c>
      <c r="D368" s="5">
        <v>19.989999999999998</v>
      </c>
      <c r="E368" s="4">
        <v>10007797500</v>
      </c>
      <c r="F368" s="3" t="s">
        <v>5661</v>
      </c>
      <c r="G368" s="7" t="s">
        <v>6252</v>
      </c>
      <c r="H368" s="3" t="s">
        <v>6652</v>
      </c>
      <c r="I368" s="3" t="s">
        <v>6681</v>
      </c>
      <c r="J368" s="3" t="s">
        <v>5536</v>
      </c>
      <c r="K368" s="3" t="s">
        <v>6748</v>
      </c>
      <c r="L368" s="8" t="str">
        <f>HYPERLINK("http://slimages.macys.com/is/image/MCY/13784275 ")</f>
        <v xml:space="preserve">http://slimages.macys.com/is/image/MCY/13784275 </v>
      </c>
    </row>
    <row r="369" spans="1:12" ht="24.75" x14ac:dyDescent="0.25">
      <c r="A369" s="6" t="s">
        <v>6702</v>
      </c>
      <c r="B369" s="3" t="s">
        <v>6657</v>
      </c>
      <c r="C369" s="4">
        <v>1</v>
      </c>
      <c r="D369" s="5">
        <v>19.989999999999998</v>
      </c>
      <c r="E369" s="4">
        <v>10008582700</v>
      </c>
      <c r="F369" s="3" t="s">
        <v>6703</v>
      </c>
      <c r="G369" s="7" t="s">
        <v>6252</v>
      </c>
      <c r="H369" s="3" t="s">
        <v>6652</v>
      </c>
      <c r="I369" s="3" t="s">
        <v>6681</v>
      </c>
      <c r="J369" s="3" t="s">
        <v>5536</v>
      </c>
      <c r="K369" s="3" t="s">
        <v>6316</v>
      </c>
      <c r="L369" s="8" t="str">
        <f>HYPERLINK("http://slimages.macys.com/is/image/MCY/15611837 ")</f>
        <v xml:space="preserve">http://slimages.macys.com/is/image/MCY/15611837 </v>
      </c>
    </row>
    <row r="370" spans="1:12" ht="24.75" x14ac:dyDescent="0.25">
      <c r="A370" s="6" t="s">
        <v>551</v>
      </c>
      <c r="B370" s="3" t="s">
        <v>552</v>
      </c>
      <c r="C370" s="4">
        <v>1</v>
      </c>
      <c r="D370" s="5">
        <v>19.989999999999998</v>
      </c>
      <c r="E370" s="4">
        <v>10007795900</v>
      </c>
      <c r="F370" s="3" t="s">
        <v>5552</v>
      </c>
      <c r="G370" s="7" t="s">
        <v>6252</v>
      </c>
      <c r="H370" s="3" t="s">
        <v>6652</v>
      </c>
      <c r="I370" s="3" t="s">
        <v>6686</v>
      </c>
      <c r="J370" s="3" t="s">
        <v>5536</v>
      </c>
      <c r="K370" s="3" t="s">
        <v>6316</v>
      </c>
      <c r="L370" s="8" t="str">
        <f>HYPERLINK("http://slimages.macys.com/is/image/MCY/15131693 ")</f>
        <v xml:space="preserve">http://slimages.macys.com/is/image/MCY/15131693 </v>
      </c>
    </row>
    <row r="371" spans="1:12" ht="24.75" x14ac:dyDescent="0.25">
      <c r="A371" s="6" t="s">
        <v>6740</v>
      </c>
      <c r="B371" s="3" t="s">
        <v>6717</v>
      </c>
      <c r="C371" s="4">
        <v>2</v>
      </c>
      <c r="D371" s="5">
        <v>39.979999999999997</v>
      </c>
      <c r="E371" s="4">
        <v>10007797300</v>
      </c>
      <c r="F371" s="3" t="s">
        <v>5532</v>
      </c>
      <c r="G371" s="7" t="s">
        <v>6252</v>
      </c>
      <c r="H371" s="3" t="s">
        <v>6652</v>
      </c>
      <c r="I371" s="3" t="s">
        <v>6686</v>
      </c>
      <c r="J371" s="3" t="s">
        <v>5536</v>
      </c>
      <c r="K371" s="3" t="s">
        <v>6316</v>
      </c>
      <c r="L371" s="8" t="str">
        <f>HYPERLINK("http://slimages.macys.com/is/image/MCY/13936405 ")</f>
        <v xml:space="preserve">http://slimages.macys.com/is/image/MCY/13936405 </v>
      </c>
    </row>
    <row r="372" spans="1:12" ht="24.75" x14ac:dyDescent="0.25">
      <c r="A372" s="6" t="s">
        <v>6734</v>
      </c>
      <c r="B372" s="3" t="s">
        <v>6688</v>
      </c>
      <c r="C372" s="4">
        <v>2</v>
      </c>
      <c r="D372" s="5">
        <v>39.979999999999997</v>
      </c>
      <c r="E372" s="4">
        <v>10008575200</v>
      </c>
      <c r="F372" s="3" t="s">
        <v>5532</v>
      </c>
      <c r="G372" s="7" t="s">
        <v>6252</v>
      </c>
      <c r="H372" s="3" t="s">
        <v>6652</v>
      </c>
      <c r="I372" s="3" t="s">
        <v>6686</v>
      </c>
      <c r="J372" s="3" t="s">
        <v>5536</v>
      </c>
      <c r="K372" s="3" t="s">
        <v>6316</v>
      </c>
      <c r="L372" s="8" t="str">
        <f>HYPERLINK("http://slimages.macys.com/is/image/MCY/15899484 ")</f>
        <v xml:space="preserve">http://slimages.macys.com/is/image/MCY/15899484 </v>
      </c>
    </row>
    <row r="373" spans="1:12" ht="24.75" x14ac:dyDescent="0.25">
      <c r="A373" s="6" t="s">
        <v>553</v>
      </c>
      <c r="B373" s="3" t="s">
        <v>6657</v>
      </c>
      <c r="C373" s="4">
        <v>2</v>
      </c>
      <c r="D373" s="5">
        <v>39.979999999999997</v>
      </c>
      <c r="E373" s="4">
        <v>10008582700</v>
      </c>
      <c r="F373" s="3" t="s">
        <v>5540</v>
      </c>
      <c r="G373" s="7" t="s">
        <v>6252</v>
      </c>
      <c r="H373" s="3" t="s">
        <v>6652</v>
      </c>
      <c r="I373" s="3" t="s">
        <v>6681</v>
      </c>
      <c r="J373" s="3" t="s">
        <v>5536</v>
      </c>
      <c r="K373" s="3" t="s">
        <v>6316</v>
      </c>
      <c r="L373" s="8" t="str">
        <f>HYPERLINK("http://slimages.macys.com/is/image/MCY/15611837 ")</f>
        <v xml:space="preserve">http://slimages.macys.com/is/image/MCY/15611837 </v>
      </c>
    </row>
    <row r="374" spans="1:12" ht="24.75" x14ac:dyDescent="0.25">
      <c r="A374" s="6" t="s">
        <v>554</v>
      </c>
      <c r="B374" s="3" t="s">
        <v>552</v>
      </c>
      <c r="C374" s="4">
        <v>4</v>
      </c>
      <c r="D374" s="5">
        <v>79.959999999999994</v>
      </c>
      <c r="E374" s="4">
        <v>10007795900</v>
      </c>
      <c r="F374" s="3" t="s">
        <v>5661</v>
      </c>
      <c r="G374" s="7" t="s">
        <v>6252</v>
      </c>
      <c r="H374" s="3" t="s">
        <v>6652</v>
      </c>
      <c r="I374" s="3" t="s">
        <v>6686</v>
      </c>
      <c r="J374" s="3" t="s">
        <v>5536</v>
      </c>
      <c r="K374" s="3" t="s">
        <v>6316</v>
      </c>
      <c r="L374" s="8" t="str">
        <f>HYPERLINK("http://slimages.macys.com/is/image/MCY/15131693 ")</f>
        <v xml:space="preserve">http://slimages.macys.com/is/image/MCY/15131693 </v>
      </c>
    </row>
    <row r="375" spans="1:12" ht="24.75" x14ac:dyDescent="0.25">
      <c r="A375" s="6" t="s">
        <v>555</v>
      </c>
      <c r="B375" s="3" t="s">
        <v>556</v>
      </c>
      <c r="C375" s="4">
        <v>2</v>
      </c>
      <c r="D375" s="5">
        <v>39.979999999999997</v>
      </c>
      <c r="E375" s="4">
        <v>10008581200</v>
      </c>
      <c r="F375" s="3" t="s">
        <v>5745</v>
      </c>
      <c r="G375" s="7" t="s">
        <v>6252</v>
      </c>
      <c r="H375" s="3" t="s">
        <v>6652</v>
      </c>
      <c r="I375" s="3" t="s">
        <v>6681</v>
      </c>
      <c r="J375" s="3" t="s">
        <v>5536</v>
      </c>
      <c r="K375" s="3" t="s">
        <v>6316</v>
      </c>
      <c r="L375" s="8" t="str">
        <f>HYPERLINK("http://slimages.macys.com/is/image/MCY/15419795 ")</f>
        <v xml:space="preserve">http://slimages.macys.com/is/image/MCY/15419795 </v>
      </c>
    </row>
    <row r="376" spans="1:12" ht="24.75" x14ac:dyDescent="0.25">
      <c r="A376" s="6" t="s">
        <v>557</v>
      </c>
      <c r="B376" s="3" t="s">
        <v>6747</v>
      </c>
      <c r="C376" s="4">
        <v>1</v>
      </c>
      <c r="D376" s="5">
        <v>19.989999999999998</v>
      </c>
      <c r="E376" s="4">
        <v>10007022700</v>
      </c>
      <c r="F376" s="3" t="s">
        <v>5540</v>
      </c>
      <c r="G376" s="7" t="s">
        <v>6252</v>
      </c>
      <c r="H376" s="3" t="s">
        <v>6652</v>
      </c>
      <c r="I376" s="3" t="s">
        <v>6681</v>
      </c>
      <c r="J376" s="3" t="s">
        <v>5536</v>
      </c>
      <c r="K376" s="3" t="s">
        <v>6748</v>
      </c>
      <c r="L376" s="8" t="str">
        <f>HYPERLINK("http://slimages.macys.com/is/image/MCY/13287456 ")</f>
        <v xml:space="preserve">http://slimages.macys.com/is/image/MCY/13287456 </v>
      </c>
    </row>
    <row r="377" spans="1:12" ht="24.75" x14ac:dyDescent="0.25">
      <c r="A377" s="6" t="s">
        <v>2528</v>
      </c>
      <c r="B377" s="3" t="s">
        <v>2529</v>
      </c>
      <c r="C377" s="4">
        <v>4</v>
      </c>
      <c r="D377" s="5">
        <v>79.959999999999994</v>
      </c>
      <c r="E377" s="4">
        <v>10006040100</v>
      </c>
      <c r="F377" s="3" t="s">
        <v>6703</v>
      </c>
      <c r="G377" s="7" t="s">
        <v>6252</v>
      </c>
      <c r="H377" s="3" t="s">
        <v>6652</v>
      </c>
      <c r="I377" s="3" t="s">
        <v>6681</v>
      </c>
      <c r="J377" s="3" t="s">
        <v>5536</v>
      </c>
      <c r="K377" s="3" t="s">
        <v>6338</v>
      </c>
      <c r="L377" s="8" t="str">
        <f>HYPERLINK("http://slimages.macys.com/is/image/MCY/11464882 ")</f>
        <v xml:space="preserve">http://slimages.macys.com/is/image/MCY/11464882 </v>
      </c>
    </row>
    <row r="378" spans="1:12" ht="24.75" x14ac:dyDescent="0.25">
      <c r="A378" s="6" t="s">
        <v>558</v>
      </c>
      <c r="B378" s="3" t="s">
        <v>559</v>
      </c>
      <c r="C378" s="4">
        <v>1</v>
      </c>
      <c r="D378" s="5">
        <v>24</v>
      </c>
      <c r="E378" s="4" t="s">
        <v>560</v>
      </c>
      <c r="F378" s="3" t="s">
        <v>5625</v>
      </c>
      <c r="G378" s="7" t="s">
        <v>5562</v>
      </c>
      <c r="H378" s="3" t="s">
        <v>6492</v>
      </c>
      <c r="I378" s="3" t="s">
        <v>6604</v>
      </c>
      <c r="J378" s="3" t="s">
        <v>5536</v>
      </c>
      <c r="K378" s="3" t="s">
        <v>5574</v>
      </c>
      <c r="L378" s="8" t="str">
        <f>HYPERLINK("http://slimages.macys.com/is/image/MCY/3903668 ")</f>
        <v xml:space="preserve">http://slimages.macys.com/is/image/MCY/3903668 </v>
      </c>
    </row>
    <row r="379" spans="1:12" ht="24.75" x14ac:dyDescent="0.25">
      <c r="A379" s="6" t="s">
        <v>561</v>
      </c>
      <c r="B379" s="3" t="s">
        <v>562</v>
      </c>
      <c r="C379" s="4">
        <v>2</v>
      </c>
      <c r="D379" s="5">
        <v>39.979999999999997</v>
      </c>
      <c r="E379" s="4" t="s">
        <v>563</v>
      </c>
      <c r="F379" s="3" t="s">
        <v>5540</v>
      </c>
      <c r="G379" s="7" t="s">
        <v>564</v>
      </c>
      <c r="H379" s="3" t="s">
        <v>6280</v>
      </c>
      <c r="I379" s="3" t="s">
        <v>565</v>
      </c>
      <c r="J379" s="3" t="s">
        <v>5536</v>
      </c>
      <c r="K379" s="3" t="s">
        <v>566</v>
      </c>
      <c r="L379" s="8" t="str">
        <f>HYPERLINK("http://slimages.macys.com/is/image/MCY/13852729 ")</f>
        <v xml:space="preserve">http://slimages.macys.com/is/image/MCY/13852729 </v>
      </c>
    </row>
    <row r="380" spans="1:12" ht="24.75" x14ac:dyDescent="0.25">
      <c r="A380" s="6" t="s">
        <v>6769</v>
      </c>
      <c r="B380" s="3" t="s">
        <v>6770</v>
      </c>
      <c r="C380" s="4">
        <v>3</v>
      </c>
      <c r="D380" s="5">
        <v>48.75</v>
      </c>
      <c r="E380" s="4" t="s">
        <v>6771</v>
      </c>
      <c r="F380" s="3" t="s">
        <v>5540</v>
      </c>
      <c r="G380" s="7" t="s">
        <v>6772</v>
      </c>
      <c r="H380" s="3" t="s">
        <v>5842</v>
      </c>
      <c r="I380" s="3" t="s">
        <v>6773</v>
      </c>
      <c r="J380" s="3" t="s">
        <v>5536</v>
      </c>
      <c r="K380" s="3" t="s">
        <v>6774</v>
      </c>
      <c r="L380" s="8" t="str">
        <f>HYPERLINK("http://slimages.macys.com/is/image/MCY/14536305 ")</f>
        <v xml:space="preserve">http://slimages.macys.com/is/image/MCY/14536305 </v>
      </c>
    </row>
    <row r="381" spans="1:12" ht="24.75" x14ac:dyDescent="0.25">
      <c r="A381" s="6" t="s">
        <v>2555</v>
      </c>
      <c r="B381" s="3" t="s">
        <v>6770</v>
      </c>
      <c r="C381" s="4">
        <v>1</v>
      </c>
      <c r="D381" s="5">
        <v>16.25</v>
      </c>
      <c r="E381" s="4" t="s">
        <v>6778</v>
      </c>
      <c r="F381" s="3" t="s">
        <v>5640</v>
      </c>
      <c r="G381" s="7" t="s">
        <v>6772</v>
      </c>
      <c r="H381" s="3" t="s">
        <v>5842</v>
      </c>
      <c r="I381" s="3" t="s">
        <v>6773</v>
      </c>
      <c r="J381" s="3" t="s">
        <v>5536</v>
      </c>
      <c r="K381" s="3" t="s">
        <v>6774</v>
      </c>
      <c r="L381" s="8" t="str">
        <f>HYPERLINK("http://slimages.macys.com/is/image/MCY/14536305 ")</f>
        <v xml:space="preserve">http://slimages.macys.com/is/image/MCY/14536305 </v>
      </c>
    </row>
    <row r="382" spans="1:12" ht="24.75" x14ac:dyDescent="0.25">
      <c r="A382" s="6" t="s">
        <v>567</v>
      </c>
      <c r="B382" s="3" t="s">
        <v>568</v>
      </c>
      <c r="C382" s="4">
        <v>1</v>
      </c>
      <c r="D382" s="5">
        <v>16.25</v>
      </c>
      <c r="E382" s="4" t="s">
        <v>569</v>
      </c>
      <c r="F382" s="3" t="s">
        <v>5540</v>
      </c>
      <c r="G382" s="7" t="s">
        <v>6772</v>
      </c>
      <c r="H382" s="3" t="s">
        <v>5842</v>
      </c>
      <c r="I382" s="3" t="s">
        <v>6773</v>
      </c>
      <c r="J382" s="3" t="s">
        <v>5536</v>
      </c>
      <c r="K382" s="3" t="s">
        <v>6774</v>
      </c>
      <c r="L382" s="8" t="str">
        <f>HYPERLINK("http://slimages.macys.com/is/image/MCY/14536360 ")</f>
        <v xml:space="preserve">http://slimages.macys.com/is/image/MCY/14536360 </v>
      </c>
    </row>
    <row r="383" spans="1:12" ht="24.75" x14ac:dyDescent="0.25">
      <c r="A383" s="6" t="s">
        <v>570</v>
      </c>
      <c r="B383" s="3" t="s">
        <v>571</v>
      </c>
      <c r="C383" s="4">
        <v>1</v>
      </c>
      <c r="D383" s="5">
        <v>20</v>
      </c>
      <c r="E383" s="4">
        <v>50140026</v>
      </c>
      <c r="F383" s="3" t="s">
        <v>5783</v>
      </c>
      <c r="G383" s="7" t="s">
        <v>5533</v>
      </c>
      <c r="H383" s="3" t="s">
        <v>6492</v>
      </c>
      <c r="I383" s="3" t="s">
        <v>6790</v>
      </c>
      <c r="J383" s="3" t="s">
        <v>5536</v>
      </c>
      <c r="K383" s="3" t="s">
        <v>5549</v>
      </c>
      <c r="L383" s="8" t="str">
        <f>HYPERLINK("http://slimages.macys.com/is/image/MCY/10210452 ")</f>
        <v xml:space="preserve">http://slimages.macys.com/is/image/MCY/10210452 </v>
      </c>
    </row>
    <row r="384" spans="1:12" ht="24.75" x14ac:dyDescent="0.25">
      <c r="A384" s="6" t="s">
        <v>6820</v>
      </c>
      <c r="B384" s="3" t="s">
        <v>6809</v>
      </c>
      <c r="C384" s="4">
        <v>1</v>
      </c>
      <c r="D384" s="5">
        <v>16.989999999999998</v>
      </c>
      <c r="E384" s="4" t="s">
        <v>6810</v>
      </c>
      <c r="F384" s="3" t="s">
        <v>5540</v>
      </c>
      <c r="G384" s="7" t="s">
        <v>6819</v>
      </c>
      <c r="H384" s="3" t="s">
        <v>5842</v>
      </c>
      <c r="I384" s="3" t="s">
        <v>6811</v>
      </c>
      <c r="J384" s="3" t="s">
        <v>5536</v>
      </c>
      <c r="K384" s="3" t="s">
        <v>6812</v>
      </c>
      <c r="L384" s="8" t="str">
        <f>HYPERLINK("http://slimages.macys.com/is/image/MCY/10454849 ")</f>
        <v xml:space="preserve">http://slimages.macys.com/is/image/MCY/10454849 </v>
      </c>
    </row>
    <row r="385" spans="1:12" ht="24.75" x14ac:dyDescent="0.25">
      <c r="A385" s="6" t="s">
        <v>6826</v>
      </c>
      <c r="B385" s="3" t="s">
        <v>6827</v>
      </c>
      <c r="C385" s="4">
        <v>2</v>
      </c>
      <c r="D385" s="5">
        <v>25.98</v>
      </c>
      <c r="E385" s="4" t="s">
        <v>6828</v>
      </c>
      <c r="F385" s="3"/>
      <c r="G385" s="7"/>
      <c r="H385" s="3" t="s">
        <v>6805</v>
      </c>
      <c r="I385" s="3" t="s">
        <v>6824</v>
      </c>
      <c r="J385" s="3" t="s">
        <v>5536</v>
      </c>
      <c r="K385" s="3" t="s">
        <v>6825</v>
      </c>
      <c r="L385" s="8" t="str">
        <f>HYPERLINK("http://slimages.macys.com/is/image/MCY/14312123 ")</f>
        <v xml:space="preserve">http://slimages.macys.com/is/image/MCY/14312123 </v>
      </c>
    </row>
    <row r="386" spans="1:12" ht="24.75" x14ac:dyDescent="0.25">
      <c r="A386" s="6" t="s">
        <v>572</v>
      </c>
      <c r="B386" s="3" t="s">
        <v>573</v>
      </c>
      <c r="C386" s="4">
        <v>1</v>
      </c>
      <c r="D386" s="5">
        <v>12.22</v>
      </c>
      <c r="E386" s="4" t="s">
        <v>574</v>
      </c>
      <c r="F386" s="3" t="s">
        <v>5556</v>
      </c>
      <c r="G386" s="7" t="s">
        <v>6819</v>
      </c>
      <c r="H386" s="3" t="s">
        <v>5842</v>
      </c>
      <c r="I386" s="3" t="s">
        <v>6811</v>
      </c>
      <c r="J386" s="3" t="s">
        <v>5536</v>
      </c>
      <c r="K386" s="3" t="s">
        <v>575</v>
      </c>
      <c r="L386" s="8" t="str">
        <f>HYPERLINK("http://slimages.macys.com/is/image/MCY/12228670 ")</f>
        <v xml:space="preserve">http://slimages.macys.com/is/image/MCY/12228670 </v>
      </c>
    </row>
    <row r="387" spans="1:12" ht="24.75" x14ac:dyDescent="0.25">
      <c r="A387" s="6" t="s">
        <v>576</v>
      </c>
      <c r="B387" s="3" t="s">
        <v>573</v>
      </c>
      <c r="C387" s="4">
        <v>2</v>
      </c>
      <c r="D387" s="5">
        <v>24.44</v>
      </c>
      <c r="E387" s="4" t="s">
        <v>574</v>
      </c>
      <c r="F387" s="3" t="s">
        <v>5540</v>
      </c>
      <c r="G387" s="7" t="s">
        <v>6819</v>
      </c>
      <c r="H387" s="3" t="s">
        <v>5842</v>
      </c>
      <c r="I387" s="3" t="s">
        <v>6811</v>
      </c>
      <c r="J387" s="3" t="s">
        <v>5536</v>
      </c>
      <c r="K387" s="3" t="s">
        <v>575</v>
      </c>
      <c r="L387" s="8" t="str">
        <f>HYPERLINK("http://slimages.macys.com/is/image/MCY/12228670 ")</f>
        <v xml:space="preserve">http://slimages.macys.com/is/image/MCY/12228670 </v>
      </c>
    </row>
    <row r="388" spans="1:12" ht="24.75" x14ac:dyDescent="0.25">
      <c r="A388" s="6" t="s">
        <v>4438</v>
      </c>
      <c r="B388" s="3" t="s">
        <v>6852</v>
      </c>
      <c r="C388" s="4">
        <v>1</v>
      </c>
      <c r="D388" s="5">
        <v>13.99</v>
      </c>
      <c r="E388" s="4" t="s">
        <v>6853</v>
      </c>
      <c r="F388" s="3" t="s">
        <v>5783</v>
      </c>
      <c r="G388" s="7" t="s">
        <v>6862</v>
      </c>
      <c r="H388" s="3" t="s">
        <v>5794</v>
      </c>
      <c r="I388" s="3" t="s">
        <v>6849</v>
      </c>
      <c r="J388" s="3" t="s">
        <v>5536</v>
      </c>
      <c r="K388" s="3" t="s">
        <v>6850</v>
      </c>
      <c r="L388" s="8" t="str">
        <f>HYPERLINK("http://slimages.macys.com/is/image/MCY/14840691 ")</f>
        <v xml:space="preserve">http://slimages.macys.com/is/image/MCY/14840691 </v>
      </c>
    </row>
    <row r="389" spans="1:12" ht="24.75" x14ac:dyDescent="0.25">
      <c r="A389" s="6" t="s">
        <v>577</v>
      </c>
      <c r="B389" s="3" t="s">
        <v>578</v>
      </c>
      <c r="C389" s="4">
        <v>1</v>
      </c>
      <c r="D389" s="5">
        <v>10.99</v>
      </c>
      <c r="E389" s="4" t="s">
        <v>579</v>
      </c>
      <c r="F389" s="3"/>
      <c r="G389" s="7"/>
      <c r="H389" s="3" t="s">
        <v>6805</v>
      </c>
      <c r="I389" s="3" t="s">
        <v>6824</v>
      </c>
      <c r="J389" s="3" t="s">
        <v>5536</v>
      </c>
      <c r="K389" s="3" t="s">
        <v>3864</v>
      </c>
      <c r="L389" s="8" t="str">
        <f>HYPERLINK("http://slimages.macys.com/is/image/MCY/14424382 ")</f>
        <v xml:space="preserve">http://slimages.macys.com/is/image/MCY/14424382 </v>
      </c>
    </row>
    <row r="390" spans="1:12" ht="24.75" x14ac:dyDescent="0.25">
      <c r="A390" s="6" t="s">
        <v>580</v>
      </c>
      <c r="B390" s="3" t="s">
        <v>2598</v>
      </c>
      <c r="C390" s="4">
        <v>1</v>
      </c>
      <c r="D390" s="5">
        <v>19.989999999999998</v>
      </c>
      <c r="E390" s="4" t="s">
        <v>2599</v>
      </c>
      <c r="F390" s="3" t="s">
        <v>5540</v>
      </c>
      <c r="G390" s="7" t="s">
        <v>5533</v>
      </c>
      <c r="H390" s="3" t="s">
        <v>6065</v>
      </c>
      <c r="I390" s="3" t="s">
        <v>6066</v>
      </c>
      <c r="J390" s="3" t="s">
        <v>5536</v>
      </c>
      <c r="K390" s="3" t="s">
        <v>5574</v>
      </c>
      <c r="L390" s="8" t="str">
        <f>HYPERLINK("http://slimages.macys.com/is/image/MCY/8156872 ")</f>
        <v xml:space="preserve">http://slimages.macys.com/is/image/MCY/8156872 </v>
      </c>
    </row>
    <row r="391" spans="1:12" x14ac:dyDescent="0.25">
      <c r="A391" s="6" t="s">
        <v>581</v>
      </c>
      <c r="B391" s="3" t="s">
        <v>3367</v>
      </c>
      <c r="C391" s="4">
        <v>1</v>
      </c>
      <c r="D391" s="5">
        <v>24.5</v>
      </c>
      <c r="E391" s="4">
        <v>100063515</v>
      </c>
      <c r="F391" s="3" t="s">
        <v>5783</v>
      </c>
      <c r="G391" s="7" t="s">
        <v>5560</v>
      </c>
      <c r="H391" s="3" t="s">
        <v>5585</v>
      </c>
      <c r="I391" s="3" t="s">
        <v>5734</v>
      </c>
      <c r="J391" s="3" t="s">
        <v>5536</v>
      </c>
      <c r="K391" s="3" t="s">
        <v>5574</v>
      </c>
      <c r="L391" s="8" t="str">
        <f>HYPERLINK("http://slimages.macys.com/is/image/MCY/13950034 ")</f>
        <v xml:space="preserve">http://slimages.macys.com/is/image/MCY/13950034 </v>
      </c>
    </row>
    <row r="392" spans="1:12" x14ac:dyDescent="0.25">
      <c r="A392" s="6" t="s">
        <v>3368</v>
      </c>
      <c r="B392" s="3" t="s">
        <v>3367</v>
      </c>
      <c r="C392" s="4">
        <v>3</v>
      </c>
      <c r="D392" s="5">
        <v>73.5</v>
      </c>
      <c r="E392" s="4">
        <v>100063515</v>
      </c>
      <c r="F392" s="3" t="s">
        <v>5783</v>
      </c>
      <c r="G392" s="7" t="s">
        <v>5596</v>
      </c>
      <c r="H392" s="3" t="s">
        <v>5585</v>
      </c>
      <c r="I392" s="3" t="s">
        <v>5734</v>
      </c>
      <c r="J392" s="3" t="s">
        <v>5536</v>
      </c>
      <c r="K392" s="3" t="s">
        <v>5574</v>
      </c>
      <c r="L392" s="8" t="str">
        <f>HYPERLINK("http://slimages.macys.com/is/image/MCY/13950034 ")</f>
        <v xml:space="preserve">http://slimages.macys.com/is/image/MCY/13950034 </v>
      </c>
    </row>
    <row r="393" spans="1:12" x14ac:dyDescent="0.25">
      <c r="A393" s="6" t="s">
        <v>582</v>
      </c>
      <c r="B393" s="3" t="s">
        <v>3367</v>
      </c>
      <c r="C393" s="4">
        <v>1</v>
      </c>
      <c r="D393" s="5">
        <v>24.5</v>
      </c>
      <c r="E393" s="4">
        <v>100063515</v>
      </c>
      <c r="F393" s="3" t="s">
        <v>5783</v>
      </c>
      <c r="G393" s="7" t="s">
        <v>5533</v>
      </c>
      <c r="H393" s="3" t="s">
        <v>5585</v>
      </c>
      <c r="I393" s="3" t="s">
        <v>5734</v>
      </c>
      <c r="J393" s="3" t="s">
        <v>5536</v>
      </c>
      <c r="K393" s="3" t="s">
        <v>5574</v>
      </c>
      <c r="L393" s="8" t="str">
        <f>HYPERLINK("http://slimages.macys.com/is/image/MCY/13950034 ")</f>
        <v xml:space="preserve">http://slimages.macys.com/is/image/MCY/13950034 </v>
      </c>
    </row>
    <row r="394" spans="1:12" ht="36.75" x14ac:dyDescent="0.25">
      <c r="A394" s="6" t="s">
        <v>6922</v>
      </c>
      <c r="B394" s="3" t="s">
        <v>6916</v>
      </c>
      <c r="C394" s="4">
        <v>1</v>
      </c>
      <c r="D394" s="5">
        <v>9.99</v>
      </c>
      <c r="E394" s="4" t="s">
        <v>6917</v>
      </c>
      <c r="F394" s="3" t="s">
        <v>5540</v>
      </c>
      <c r="G394" s="7" t="s">
        <v>5533</v>
      </c>
      <c r="H394" s="3" t="s">
        <v>6430</v>
      </c>
      <c r="I394" s="3" t="s">
        <v>6431</v>
      </c>
      <c r="J394" s="3" t="s">
        <v>5536</v>
      </c>
      <c r="K394" s="3" t="s">
        <v>5574</v>
      </c>
      <c r="L394" s="8" t="str">
        <f>HYPERLINK("http://slimages.macys.com/is/image/MCY/15509348 ")</f>
        <v xml:space="preserve">http://slimages.macys.com/is/image/MCY/15509348 </v>
      </c>
    </row>
    <row r="395" spans="1:12" ht="36.75" x14ac:dyDescent="0.25">
      <c r="A395" s="6" t="s">
        <v>6912</v>
      </c>
      <c r="B395" s="3" t="s">
        <v>6913</v>
      </c>
      <c r="C395" s="4">
        <v>1</v>
      </c>
      <c r="D395" s="5">
        <v>9.99</v>
      </c>
      <c r="E395" s="4" t="s">
        <v>6914</v>
      </c>
      <c r="F395" s="3" t="s">
        <v>5977</v>
      </c>
      <c r="G395" s="7" t="s">
        <v>5533</v>
      </c>
      <c r="H395" s="3" t="s">
        <v>6430</v>
      </c>
      <c r="I395" s="3" t="s">
        <v>6431</v>
      </c>
      <c r="J395" s="3" t="s">
        <v>5536</v>
      </c>
      <c r="K395" s="3" t="s">
        <v>5574</v>
      </c>
      <c r="L395" s="8" t="str">
        <f>HYPERLINK("http://slimages.macys.com/is/image/MCY/15550079 ")</f>
        <v xml:space="preserve">http://slimages.macys.com/is/image/MCY/15550079 </v>
      </c>
    </row>
    <row r="396" spans="1:12" ht="24.75" x14ac:dyDescent="0.25">
      <c r="A396" s="6" t="s">
        <v>583</v>
      </c>
      <c r="B396" s="3" t="s">
        <v>584</v>
      </c>
      <c r="C396" s="4">
        <v>1</v>
      </c>
      <c r="D396" s="5">
        <v>6.67</v>
      </c>
      <c r="E396" s="4" t="s">
        <v>585</v>
      </c>
      <c r="F396" s="3" t="s">
        <v>5540</v>
      </c>
      <c r="G396" s="7" t="s">
        <v>5898</v>
      </c>
      <c r="H396" s="3" t="s">
        <v>6805</v>
      </c>
      <c r="I396" s="3" t="s">
        <v>6795</v>
      </c>
      <c r="J396" s="3" t="s">
        <v>5536</v>
      </c>
      <c r="K396" s="3" t="s">
        <v>5377</v>
      </c>
      <c r="L396" s="8" t="str">
        <f>HYPERLINK("http://slimages.macys.com/is/image/MCY/15384124 ")</f>
        <v xml:space="preserve">http://slimages.macys.com/is/image/MCY/15384124 </v>
      </c>
    </row>
    <row r="397" spans="1:12" ht="132.75" x14ac:dyDescent="0.25">
      <c r="A397" s="6" t="s">
        <v>586</v>
      </c>
      <c r="B397" s="3" t="s">
        <v>587</v>
      </c>
      <c r="C397" s="4">
        <v>1</v>
      </c>
      <c r="D397" s="5">
        <v>6.67</v>
      </c>
      <c r="E397" s="4" t="s">
        <v>588</v>
      </c>
      <c r="F397" s="3" t="s">
        <v>5532</v>
      </c>
      <c r="G397" s="7" t="s">
        <v>5898</v>
      </c>
      <c r="H397" s="3" t="s">
        <v>6805</v>
      </c>
      <c r="I397" s="3" t="s">
        <v>6795</v>
      </c>
      <c r="J397" s="3" t="s">
        <v>5536</v>
      </c>
      <c r="K397" s="3" t="s">
        <v>3384</v>
      </c>
      <c r="L397" s="8" t="str">
        <f>HYPERLINK("http://slimages.macys.com/is/image/MCY/14312034 ")</f>
        <v xml:space="preserve">http://slimages.macys.com/is/image/MCY/14312034 </v>
      </c>
    </row>
    <row r="398" spans="1:12" ht="36.75" x14ac:dyDescent="0.25">
      <c r="A398" s="6" t="s">
        <v>589</v>
      </c>
      <c r="B398" s="3" t="s">
        <v>590</v>
      </c>
      <c r="C398" s="4">
        <v>1</v>
      </c>
      <c r="D398" s="5">
        <v>7.98</v>
      </c>
      <c r="E398" s="4" t="s">
        <v>591</v>
      </c>
      <c r="F398" s="3" t="s">
        <v>5661</v>
      </c>
      <c r="G398" s="7" t="s">
        <v>5598</v>
      </c>
      <c r="H398" s="3" t="s">
        <v>6430</v>
      </c>
      <c r="I398" s="3" t="s">
        <v>6431</v>
      </c>
      <c r="J398" s="3" t="s">
        <v>5536</v>
      </c>
      <c r="K398" s="3" t="s">
        <v>5553</v>
      </c>
      <c r="L398" s="8" t="str">
        <f>HYPERLINK("http://slimages.macys.com/is/image/MCY/3636923 ")</f>
        <v xml:space="preserve">http://slimages.macys.com/is/image/MCY/3636923 </v>
      </c>
    </row>
    <row r="399" spans="1:12" ht="24.75" x14ac:dyDescent="0.25">
      <c r="A399" s="6" t="s">
        <v>2612</v>
      </c>
      <c r="B399" s="3" t="s">
        <v>2613</v>
      </c>
      <c r="C399" s="4">
        <v>1</v>
      </c>
      <c r="D399" s="5">
        <v>6</v>
      </c>
      <c r="E399" s="4" t="s">
        <v>2614</v>
      </c>
      <c r="F399" s="3" t="s">
        <v>5540</v>
      </c>
      <c r="G399" s="7" t="s">
        <v>5898</v>
      </c>
      <c r="H399" s="3" t="s">
        <v>6632</v>
      </c>
      <c r="I399" s="3" t="s">
        <v>6633</v>
      </c>
      <c r="J399" s="3" t="s">
        <v>5536</v>
      </c>
      <c r="K399" s="3" t="s">
        <v>6634</v>
      </c>
      <c r="L399" s="8" t="str">
        <f>HYPERLINK("http://slimages.macys.com/is/image/MCY/14346524 ")</f>
        <v xml:space="preserve">http://slimages.macys.com/is/image/MCY/14346524 </v>
      </c>
    </row>
    <row r="400" spans="1:12" ht="24.75" x14ac:dyDescent="0.25">
      <c r="A400" s="6" t="s">
        <v>6946</v>
      </c>
      <c r="B400" s="3" t="s">
        <v>6947</v>
      </c>
      <c r="C400" s="4">
        <v>1</v>
      </c>
      <c r="D400" s="5">
        <v>6</v>
      </c>
      <c r="E400" s="4" t="s">
        <v>6948</v>
      </c>
      <c r="F400" s="3" t="s">
        <v>5532</v>
      </c>
      <c r="G400" s="7" t="s">
        <v>5898</v>
      </c>
      <c r="H400" s="3" t="s">
        <v>6632</v>
      </c>
      <c r="I400" s="3" t="s">
        <v>6633</v>
      </c>
      <c r="J400" s="3" t="s">
        <v>5536</v>
      </c>
      <c r="K400" s="3" t="s">
        <v>6634</v>
      </c>
      <c r="L400" s="8" t="str">
        <f>HYPERLINK("http://slimages.macys.com/is/image/MCY/14346677 ")</f>
        <v xml:space="preserve">http://slimages.macys.com/is/image/MCY/14346677 </v>
      </c>
    </row>
    <row r="401" spans="1:12" ht="24.75" x14ac:dyDescent="0.25">
      <c r="A401" s="6" t="s">
        <v>3388</v>
      </c>
      <c r="B401" s="3" t="s">
        <v>3389</v>
      </c>
      <c r="C401" s="4">
        <v>4</v>
      </c>
      <c r="D401" s="5">
        <v>24</v>
      </c>
      <c r="E401" s="4">
        <v>100090197</v>
      </c>
      <c r="F401" s="3" t="s">
        <v>5532</v>
      </c>
      <c r="G401" s="7" t="s">
        <v>5898</v>
      </c>
      <c r="H401" s="3" t="s">
        <v>6632</v>
      </c>
      <c r="I401" s="3" t="s">
        <v>6633</v>
      </c>
      <c r="J401" s="3" t="s">
        <v>5536</v>
      </c>
      <c r="K401" s="3" t="s">
        <v>6634</v>
      </c>
      <c r="L401" s="8" t="str">
        <f>HYPERLINK("http://slimages.macys.com/is/image/MCY/15967411 ")</f>
        <v xml:space="preserve">http://slimages.macys.com/is/image/MCY/15967411 </v>
      </c>
    </row>
    <row r="402" spans="1:12" ht="24.75" x14ac:dyDescent="0.25">
      <c r="A402" s="6" t="s">
        <v>592</v>
      </c>
      <c r="B402" s="3" t="s">
        <v>6816</v>
      </c>
      <c r="C402" s="4">
        <v>2</v>
      </c>
      <c r="D402" s="5">
        <v>12.08</v>
      </c>
      <c r="E402" s="4" t="s">
        <v>593</v>
      </c>
      <c r="F402" s="3" t="s">
        <v>5532</v>
      </c>
      <c r="G402" s="7"/>
      <c r="H402" s="3" t="s">
        <v>5842</v>
      </c>
      <c r="I402" s="3" t="s">
        <v>594</v>
      </c>
      <c r="J402" s="3" t="s">
        <v>5536</v>
      </c>
      <c r="K402" s="3" t="s">
        <v>595</v>
      </c>
      <c r="L402" s="8" t="str">
        <f>HYPERLINK("http://slimages.macys.com/is/image/MCY/9029599 ")</f>
        <v xml:space="preserve">http://slimages.macys.com/is/image/MCY/9029599 </v>
      </c>
    </row>
    <row r="403" spans="1:12" ht="24.75" x14ac:dyDescent="0.25">
      <c r="A403" s="6" t="s">
        <v>596</v>
      </c>
      <c r="B403" s="3" t="s">
        <v>597</v>
      </c>
      <c r="C403" s="4">
        <v>1</v>
      </c>
      <c r="D403" s="5">
        <v>6</v>
      </c>
      <c r="E403" s="4" t="s">
        <v>598</v>
      </c>
      <c r="F403" s="3" t="s">
        <v>5820</v>
      </c>
      <c r="G403" s="7" t="s">
        <v>5898</v>
      </c>
      <c r="H403" s="3" t="s">
        <v>6632</v>
      </c>
      <c r="I403" s="3" t="s">
        <v>6633</v>
      </c>
      <c r="J403" s="3" t="s">
        <v>5536</v>
      </c>
      <c r="K403" s="3" t="s">
        <v>6634</v>
      </c>
      <c r="L403" s="8" t="str">
        <f>HYPERLINK("http://slimages.macys.com/is/image/MCY/13812091 ")</f>
        <v xml:space="preserve">http://slimages.macys.com/is/image/MCY/13812091 </v>
      </c>
    </row>
    <row r="404" spans="1:12" ht="24.75" x14ac:dyDescent="0.25">
      <c r="A404" s="6" t="s">
        <v>2629</v>
      </c>
      <c r="B404" s="3" t="s">
        <v>2630</v>
      </c>
      <c r="C404" s="4">
        <v>8</v>
      </c>
      <c r="D404" s="5">
        <v>40</v>
      </c>
      <c r="E404" s="4" t="s">
        <v>2631</v>
      </c>
      <c r="F404" s="3" t="s">
        <v>5604</v>
      </c>
      <c r="G404" s="7" t="s">
        <v>5898</v>
      </c>
      <c r="H404" s="3" t="s">
        <v>6632</v>
      </c>
      <c r="I404" s="3" t="s">
        <v>6969</v>
      </c>
      <c r="J404" s="3" t="s">
        <v>5536</v>
      </c>
      <c r="K404" s="3" t="s">
        <v>6990</v>
      </c>
      <c r="L404" s="8" t="str">
        <f>HYPERLINK("http://slimages.macys.com/is/image/MCY/15668373 ")</f>
        <v xml:space="preserve">http://slimages.macys.com/is/image/MCY/15668373 </v>
      </c>
    </row>
    <row r="405" spans="1:12" ht="24.75" x14ac:dyDescent="0.25">
      <c r="A405" s="6" t="s">
        <v>7008</v>
      </c>
      <c r="B405" s="3" t="s">
        <v>6992</v>
      </c>
      <c r="C405" s="4">
        <v>2</v>
      </c>
      <c r="D405" s="5">
        <v>10</v>
      </c>
      <c r="E405" s="4" t="s">
        <v>6993</v>
      </c>
      <c r="F405" s="3" t="s">
        <v>5540</v>
      </c>
      <c r="G405" s="7" t="s">
        <v>5898</v>
      </c>
      <c r="H405" s="3" t="s">
        <v>6632</v>
      </c>
      <c r="I405" s="3" t="s">
        <v>6969</v>
      </c>
      <c r="J405" s="3" t="s">
        <v>5536</v>
      </c>
      <c r="K405" s="3" t="s">
        <v>6994</v>
      </c>
      <c r="L405" s="8" t="str">
        <f>HYPERLINK("http://slimages.macys.com/is/image/MCY/14345413 ")</f>
        <v xml:space="preserve">http://slimages.macys.com/is/image/MCY/14345413 </v>
      </c>
    </row>
    <row r="406" spans="1:12" ht="24.75" x14ac:dyDescent="0.25">
      <c r="A406" s="6" t="s">
        <v>6975</v>
      </c>
      <c r="B406" s="3" t="s">
        <v>6976</v>
      </c>
      <c r="C406" s="4">
        <v>2</v>
      </c>
      <c r="D406" s="5">
        <v>10</v>
      </c>
      <c r="E406" s="4" t="s">
        <v>6977</v>
      </c>
      <c r="F406" s="3" t="s">
        <v>5604</v>
      </c>
      <c r="G406" s="7" t="s">
        <v>5898</v>
      </c>
      <c r="H406" s="3" t="s">
        <v>6632</v>
      </c>
      <c r="I406" s="3" t="s">
        <v>6969</v>
      </c>
      <c r="J406" s="3" t="s">
        <v>5536</v>
      </c>
      <c r="K406" s="3" t="s">
        <v>6978</v>
      </c>
      <c r="L406" s="8" t="str">
        <f>HYPERLINK("http://slimages.macys.com/is/image/MCY/14346481 ")</f>
        <v xml:space="preserve">http://slimages.macys.com/is/image/MCY/14346481 </v>
      </c>
    </row>
    <row r="407" spans="1:12" ht="24.75" x14ac:dyDescent="0.25">
      <c r="A407" s="6" t="s">
        <v>2643</v>
      </c>
      <c r="B407" s="3" t="s">
        <v>2644</v>
      </c>
      <c r="C407" s="4">
        <v>5</v>
      </c>
      <c r="D407" s="5">
        <v>25</v>
      </c>
      <c r="E407" s="4" t="s">
        <v>2645</v>
      </c>
      <c r="F407" s="3" t="s">
        <v>5661</v>
      </c>
      <c r="G407" s="7" t="s">
        <v>5898</v>
      </c>
      <c r="H407" s="3" t="s">
        <v>6632</v>
      </c>
      <c r="I407" s="3" t="s">
        <v>6969</v>
      </c>
      <c r="J407" s="3" t="s">
        <v>5536</v>
      </c>
      <c r="K407" s="3" t="s">
        <v>6970</v>
      </c>
      <c r="L407" s="8" t="str">
        <f>HYPERLINK("http://slimages.macys.com/is/image/MCY/15501732 ")</f>
        <v xml:space="preserve">http://slimages.macys.com/is/image/MCY/15501732 </v>
      </c>
    </row>
    <row r="408" spans="1:12" ht="24.75" x14ac:dyDescent="0.25">
      <c r="A408" s="6" t="s">
        <v>2640</v>
      </c>
      <c r="B408" s="3" t="s">
        <v>2641</v>
      </c>
      <c r="C408" s="4">
        <v>13</v>
      </c>
      <c r="D408" s="5">
        <v>65</v>
      </c>
      <c r="E408" s="4" t="s">
        <v>2642</v>
      </c>
      <c r="F408" s="3" t="s">
        <v>5604</v>
      </c>
      <c r="G408" s="7" t="s">
        <v>5898</v>
      </c>
      <c r="H408" s="3" t="s">
        <v>6632</v>
      </c>
      <c r="I408" s="3" t="s">
        <v>6969</v>
      </c>
      <c r="J408" s="3" t="s">
        <v>5536</v>
      </c>
      <c r="K408" s="3" t="s">
        <v>7004</v>
      </c>
      <c r="L408" s="8" t="str">
        <f>HYPERLINK("http://slimages.macys.com/is/image/MCY/15668362 ")</f>
        <v xml:space="preserve">http://slimages.macys.com/is/image/MCY/15668362 </v>
      </c>
    </row>
    <row r="409" spans="1:12" ht="24.75" x14ac:dyDescent="0.25">
      <c r="A409" s="6" t="s">
        <v>2639</v>
      </c>
      <c r="B409" s="3" t="s">
        <v>2633</v>
      </c>
      <c r="C409" s="4">
        <v>1</v>
      </c>
      <c r="D409" s="5">
        <v>5</v>
      </c>
      <c r="E409" s="4" t="s">
        <v>2634</v>
      </c>
      <c r="F409" s="3" t="s">
        <v>5661</v>
      </c>
      <c r="G409" s="7" t="s">
        <v>5898</v>
      </c>
      <c r="H409" s="3" t="s">
        <v>6632</v>
      </c>
      <c r="I409" s="3" t="s">
        <v>6969</v>
      </c>
      <c r="J409" s="3" t="s">
        <v>5536</v>
      </c>
      <c r="K409" s="3" t="s">
        <v>2635</v>
      </c>
      <c r="L409" s="8" t="str">
        <f>HYPERLINK("http://slimages.macys.com/is/image/MCY/15668355 ")</f>
        <v xml:space="preserve">http://slimages.macys.com/is/image/MCY/15668355 </v>
      </c>
    </row>
    <row r="410" spans="1:12" ht="24.75" x14ac:dyDescent="0.25">
      <c r="A410" s="6" t="s">
        <v>3395</v>
      </c>
      <c r="B410" s="3" t="s">
        <v>3393</v>
      </c>
      <c r="C410" s="4">
        <v>11</v>
      </c>
      <c r="D410" s="5">
        <v>55</v>
      </c>
      <c r="E410" s="4" t="s">
        <v>3394</v>
      </c>
      <c r="F410" s="3" t="s">
        <v>5604</v>
      </c>
      <c r="G410" s="7" t="s">
        <v>5898</v>
      </c>
      <c r="H410" s="3" t="s">
        <v>6632</v>
      </c>
      <c r="I410" s="3" t="s">
        <v>6969</v>
      </c>
      <c r="J410" s="3" t="s">
        <v>5536</v>
      </c>
      <c r="K410" s="3" t="s">
        <v>6970</v>
      </c>
      <c r="L410" s="8" t="str">
        <f>HYPERLINK("http://slimages.macys.com/is/image/MCY/15668450 ")</f>
        <v xml:space="preserve">http://slimages.macys.com/is/image/MCY/15668450 </v>
      </c>
    </row>
    <row r="411" spans="1:12" ht="24.75" x14ac:dyDescent="0.25">
      <c r="A411" s="6" t="s">
        <v>2646</v>
      </c>
      <c r="B411" s="3" t="s">
        <v>2630</v>
      </c>
      <c r="C411" s="4">
        <v>16</v>
      </c>
      <c r="D411" s="5">
        <v>80</v>
      </c>
      <c r="E411" s="4" t="s">
        <v>2631</v>
      </c>
      <c r="F411" s="3" t="s">
        <v>5540</v>
      </c>
      <c r="G411" s="7" t="s">
        <v>5898</v>
      </c>
      <c r="H411" s="3" t="s">
        <v>6632</v>
      </c>
      <c r="I411" s="3" t="s">
        <v>6969</v>
      </c>
      <c r="J411" s="3" t="s">
        <v>5536</v>
      </c>
      <c r="K411" s="3" t="s">
        <v>6990</v>
      </c>
      <c r="L411" s="8" t="str">
        <f>HYPERLINK("http://slimages.macys.com/is/image/MCY/15668373 ")</f>
        <v xml:space="preserve">http://slimages.macys.com/is/image/MCY/15668373 </v>
      </c>
    </row>
    <row r="412" spans="1:12" ht="24.75" x14ac:dyDescent="0.25">
      <c r="A412" s="6" t="s">
        <v>2632</v>
      </c>
      <c r="B412" s="3" t="s">
        <v>2633</v>
      </c>
      <c r="C412" s="4">
        <v>4</v>
      </c>
      <c r="D412" s="5">
        <v>20</v>
      </c>
      <c r="E412" s="4" t="s">
        <v>2634</v>
      </c>
      <c r="F412" s="3" t="s">
        <v>5540</v>
      </c>
      <c r="G412" s="7" t="s">
        <v>5898</v>
      </c>
      <c r="H412" s="3" t="s">
        <v>6632</v>
      </c>
      <c r="I412" s="3" t="s">
        <v>6969</v>
      </c>
      <c r="J412" s="3" t="s">
        <v>5536</v>
      </c>
      <c r="K412" s="3" t="s">
        <v>2635</v>
      </c>
      <c r="L412" s="8" t="str">
        <f>HYPERLINK("http://slimages.macys.com/is/image/MCY/15668355 ")</f>
        <v xml:space="preserve">http://slimages.macys.com/is/image/MCY/15668355 </v>
      </c>
    </row>
    <row r="413" spans="1:12" ht="24.75" x14ac:dyDescent="0.25">
      <c r="A413" s="6" t="s">
        <v>6996</v>
      </c>
      <c r="B413" s="3" t="s">
        <v>6985</v>
      </c>
      <c r="C413" s="4">
        <v>1</v>
      </c>
      <c r="D413" s="5">
        <v>5</v>
      </c>
      <c r="E413" s="4" t="s">
        <v>6986</v>
      </c>
      <c r="F413" s="3" t="s">
        <v>5532</v>
      </c>
      <c r="G413" s="7" t="s">
        <v>5898</v>
      </c>
      <c r="H413" s="3" t="s">
        <v>6632</v>
      </c>
      <c r="I413" s="3" t="s">
        <v>6969</v>
      </c>
      <c r="J413" s="3" t="s">
        <v>5536</v>
      </c>
      <c r="K413" s="3" t="s">
        <v>6974</v>
      </c>
      <c r="L413" s="8" t="str">
        <f>HYPERLINK("http://slimages.macys.com/is/image/MCY/9843724 ")</f>
        <v xml:space="preserve">http://slimages.macys.com/is/image/MCY/9843724 </v>
      </c>
    </row>
    <row r="414" spans="1:12" ht="24.75" x14ac:dyDescent="0.25">
      <c r="A414" s="6" t="s">
        <v>6995</v>
      </c>
      <c r="B414" s="3" t="s">
        <v>6985</v>
      </c>
      <c r="C414" s="4">
        <v>2</v>
      </c>
      <c r="D414" s="5">
        <v>10</v>
      </c>
      <c r="E414" s="4" t="s">
        <v>6986</v>
      </c>
      <c r="F414" s="3" t="s">
        <v>5661</v>
      </c>
      <c r="G414" s="7" t="s">
        <v>5898</v>
      </c>
      <c r="H414" s="3" t="s">
        <v>6632</v>
      </c>
      <c r="I414" s="3" t="s">
        <v>6969</v>
      </c>
      <c r="J414" s="3" t="s">
        <v>5536</v>
      </c>
      <c r="K414" s="3" t="s">
        <v>6974</v>
      </c>
      <c r="L414" s="8" t="str">
        <f>HYPERLINK("http://slimages.macys.com/is/image/MCY/9843724 ")</f>
        <v xml:space="preserve">http://slimages.macys.com/is/image/MCY/9843724 </v>
      </c>
    </row>
    <row r="415" spans="1:12" ht="24.75" x14ac:dyDescent="0.25">
      <c r="A415" s="6" t="s">
        <v>3392</v>
      </c>
      <c r="B415" s="3" t="s">
        <v>3393</v>
      </c>
      <c r="C415" s="4">
        <v>5</v>
      </c>
      <c r="D415" s="5">
        <v>25</v>
      </c>
      <c r="E415" s="4" t="s">
        <v>3394</v>
      </c>
      <c r="F415" s="3" t="s">
        <v>7010</v>
      </c>
      <c r="G415" s="7" t="s">
        <v>5898</v>
      </c>
      <c r="H415" s="3" t="s">
        <v>6632</v>
      </c>
      <c r="I415" s="3" t="s">
        <v>6969</v>
      </c>
      <c r="J415" s="3" t="s">
        <v>5536</v>
      </c>
      <c r="K415" s="3" t="s">
        <v>6970</v>
      </c>
      <c r="L415" s="8" t="str">
        <f>HYPERLINK("http://slimages.macys.com/is/image/MCY/15668450 ")</f>
        <v xml:space="preserve">http://slimages.macys.com/is/image/MCY/15668450 </v>
      </c>
    </row>
    <row r="416" spans="1:12" ht="24.75" x14ac:dyDescent="0.25">
      <c r="A416" s="6" t="s">
        <v>599</v>
      </c>
      <c r="B416" s="3" t="s">
        <v>2648</v>
      </c>
      <c r="C416" s="4">
        <v>1</v>
      </c>
      <c r="D416" s="5">
        <v>5</v>
      </c>
      <c r="E416" s="4">
        <v>100012390</v>
      </c>
      <c r="F416" s="3" t="s">
        <v>6703</v>
      </c>
      <c r="G416" s="7" t="s">
        <v>5898</v>
      </c>
      <c r="H416" s="3" t="s">
        <v>6632</v>
      </c>
      <c r="I416" s="3" t="s">
        <v>6969</v>
      </c>
      <c r="J416" s="3" t="s">
        <v>5536</v>
      </c>
      <c r="K416" s="3" t="s">
        <v>6970</v>
      </c>
      <c r="L416" s="8" t="str">
        <f>HYPERLINK("http://slimages.macys.com/is/image/MCY/9262418 ")</f>
        <v xml:space="preserve">http://slimages.macys.com/is/image/MCY/9262418 </v>
      </c>
    </row>
    <row r="417" spans="1:12" ht="24.75" x14ac:dyDescent="0.25">
      <c r="A417" s="6" t="s">
        <v>600</v>
      </c>
      <c r="B417" s="3" t="s">
        <v>601</v>
      </c>
      <c r="C417" s="4">
        <v>2</v>
      </c>
      <c r="D417" s="5">
        <v>56</v>
      </c>
      <c r="E417" s="4" t="s">
        <v>602</v>
      </c>
      <c r="F417" s="3" t="s">
        <v>4547</v>
      </c>
      <c r="G417" s="7" t="s">
        <v>5898</v>
      </c>
      <c r="H417" s="3" t="s">
        <v>6280</v>
      </c>
      <c r="I417" s="3" t="s">
        <v>6288</v>
      </c>
      <c r="J417" s="3"/>
      <c r="K417" s="3"/>
      <c r="L417" s="8"/>
    </row>
    <row r="418" spans="1:12" ht="24.75" x14ac:dyDescent="0.25">
      <c r="A418" s="6" t="s">
        <v>603</v>
      </c>
      <c r="B418" s="3" t="s">
        <v>604</v>
      </c>
      <c r="C418" s="4">
        <v>1</v>
      </c>
      <c r="D418" s="5">
        <v>28</v>
      </c>
      <c r="E418" s="4" t="s">
        <v>605</v>
      </c>
      <c r="F418" s="3" t="s">
        <v>5532</v>
      </c>
      <c r="G418" s="7" t="s">
        <v>5898</v>
      </c>
      <c r="H418" s="3" t="s">
        <v>6280</v>
      </c>
      <c r="I418" s="3" t="s">
        <v>6281</v>
      </c>
      <c r="J418" s="3"/>
      <c r="K418" s="3"/>
      <c r="L418" s="8"/>
    </row>
    <row r="419" spans="1:12" ht="24.75" x14ac:dyDescent="0.25">
      <c r="A419" s="6" t="s">
        <v>606</v>
      </c>
      <c r="B419" s="3" t="s">
        <v>607</v>
      </c>
      <c r="C419" s="4">
        <v>2</v>
      </c>
      <c r="D419" s="5">
        <v>56</v>
      </c>
      <c r="E419" s="4" t="s">
        <v>608</v>
      </c>
      <c r="F419" s="3" t="s">
        <v>5532</v>
      </c>
      <c r="G419" s="7" t="s">
        <v>5898</v>
      </c>
      <c r="H419" s="3" t="s">
        <v>6280</v>
      </c>
      <c r="I419" s="3" t="s">
        <v>6288</v>
      </c>
      <c r="J419" s="3"/>
      <c r="K419" s="3"/>
      <c r="L419" s="8"/>
    </row>
    <row r="420" spans="1:12" ht="24.75" x14ac:dyDescent="0.25">
      <c r="A420" s="6" t="s">
        <v>609</v>
      </c>
      <c r="B420" s="3" t="s">
        <v>610</v>
      </c>
      <c r="C420" s="4">
        <v>1</v>
      </c>
      <c r="D420" s="5">
        <v>25</v>
      </c>
      <c r="E420" s="4" t="s">
        <v>611</v>
      </c>
      <c r="F420" s="3" t="s">
        <v>5783</v>
      </c>
      <c r="G420" s="7"/>
      <c r="H420" s="3" t="s">
        <v>5825</v>
      </c>
      <c r="I420" s="3" t="s">
        <v>6265</v>
      </c>
      <c r="J420" s="3"/>
      <c r="K420" s="3"/>
      <c r="L420" s="8"/>
    </row>
    <row r="421" spans="1:12" ht="24.75" x14ac:dyDescent="0.25">
      <c r="A421" s="6" t="s">
        <v>2649</v>
      </c>
      <c r="B421" s="3" t="s">
        <v>6747</v>
      </c>
      <c r="C421" s="4">
        <v>1</v>
      </c>
      <c r="D421" s="5">
        <v>19.989999999999998</v>
      </c>
      <c r="E421" s="4">
        <v>10007022700</v>
      </c>
      <c r="F421" s="3" t="s">
        <v>5661</v>
      </c>
      <c r="G421" s="7" t="s">
        <v>6252</v>
      </c>
      <c r="H421" s="3" t="s">
        <v>6652</v>
      </c>
      <c r="I421" s="3" t="s">
        <v>6681</v>
      </c>
      <c r="J421" s="3"/>
      <c r="K421" s="3"/>
      <c r="L421" s="8"/>
    </row>
    <row r="422" spans="1:12" ht="24.75" x14ac:dyDescent="0.25">
      <c r="A422" s="6" t="s">
        <v>612</v>
      </c>
      <c r="B422" s="3" t="s">
        <v>613</v>
      </c>
      <c r="C422" s="4">
        <v>2</v>
      </c>
      <c r="D422" s="5">
        <v>29.98</v>
      </c>
      <c r="E422" s="4" t="s">
        <v>614</v>
      </c>
      <c r="F422" s="3" t="s">
        <v>5532</v>
      </c>
      <c r="G422" s="7" t="s">
        <v>6252</v>
      </c>
      <c r="H422" s="3" t="s">
        <v>6280</v>
      </c>
      <c r="I422" s="3" t="s">
        <v>4498</v>
      </c>
      <c r="J422" s="3"/>
      <c r="K422" s="3"/>
      <c r="L422" s="8"/>
    </row>
    <row r="423" spans="1:12" ht="24.75" x14ac:dyDescent="0.25">
      <c r="A423" s="6" t="s">
        <v>615</v>
      </c>
      <c r="B423" s="3" t="s">
        <v>616</v>
      </c>
      <c r="C423" s="4">
        <v>1</v>
      </c>
      <c r="D423" s="5">
        <v>14.99</v>
      </c>
      <c r="E423" s="4" t="s">
        <v>617</v>
      </c>
      <c r="F423" s="3" t="s">
        <v>5661</v>
      </c>
      <c r="G423" s="7" t="s">
        <v>6252</v>
      </c>
      <c r="H423" s="3" t="s">
        <v>6280</v>
      </c>
      <c r="I423" s="3" t="s">
        <v>4498</v>
      </c>
      <c r="J423" s="3"/>
      <c r="K423" s="3"/>
      <c r="L423" s="8"/>
    </row>
    <row r="424" spans="1:12" ht="24.75" x14ac:dyDescent="0.25">
      <c r="A424" s="6" t="s">
        <v>4499</v>
      </c>
      <c r="B424" s="3" t="s">
        <v>4500</v>
      </c>
      <c r="C424" s="4">
        <v>1</v>
      </c>
      <c r="D424" s="5">
        <v>14.99</v>
      </c>
      <c r="E424" s="4" t="s">
        <v>4501</v>
      </c>
      <c r="F424" s="3" t="s">
        <v>5745</v>
      </c>
      <c r="G424" s="7" t="s">
        <v>6252</v>
      </c>
      <c r="H424" s="3" t="s">
        <v>6280</v>
      </c>
      <c r="I424" s="3" t="s">
        <v>4498</v>
      </c>
      <c r="J424" s="3"/>
      <c r="K424" s="3"/>
      <c r="L424" s="8"/>
    </row>
    <row r="425" spans="1:12" ht="24.75" x14ac:dyDescent="0.25">
      <c r="A425" s="6" t="s">
        <v>618</v>
      </c>
      <c r="B425" s="3" t="s">
        <v>619</v>
      </c>
      <c r="C425" s="4">
        <v>1</v>
      </c>
      <c r="D425" s="5">
        <v>14.99</v>
      </c>
      <c r="E425" s="4" t="s">
        <v>620</v>
      </c>
      <c r="F425" s="3" t="s">
        <v>5540</v>
      </c>
      <c r="G425" s="7" t="s">
        <v>6252</v>
      </c>
      <c r="H425" s="3" t="s">
        <v>6280</v>
      </c>
      <c r="I425" s="3" t="s">
        <v>4498</v>
      </c>
      <c r="J425" s="3"/>
      <c r="K425" s="3"/>
      <c r="L425" s="8"/>
    </row>
    <row r="426" spans="1:12" ht="24.75" x14ac:dyDescent="0.25">
      <c r="A426" s="6" t="s">
        <v>621</v>
      </c>
      <c r="B426" s="3" t="s">
        <v>622</v>
      </c>
      <c r="C426" s="4">
        <v>1</v>
      </c>
      <c r="D426" s="5">
        <v>14.99</v>
      </c>
      <c r="E426" s="4" t="s">
        <v>623</v>
      </c>
      <c r="F426" s="3" t="s">
        <v>6335</v>
      </c>
      <c r="G426" s="7" t="s">
        <v>6252</v>
      </c>
      <c r="H426" s="3" t="s">
        <v>6280</v>
      </c>
      <c r="I426" s="3" t="s">
        <v>4498</v>
      </c>
      <c r="J426" s="3"/>
      <c r="K426" s="3"/>
      <c r="L426" s="8"/>
    </row>
    <row r="427" spans="1:12" ht="24.75" x14ac:dyDescent="0.25">
      <c r="A427" s="6" t="s">
        <v>624</v>
      </c>
      <c r="B427" s="3" t="s">
        <v>625</v>
      </c>
      <c r="C427" s="4">
        <v>2</v>
      </c>
      <c r="D427" s="5">
        <v>29.98</v>
      </c>
      <c r="E427" s="4" t="s">
        <v>626</v>
      </c>
      <c r="F427" s="3" t="s">
        <v>6335</v>
      </c>
      <c r="G427" s="7" t="s">
        <v>6252</v>
      </c>
      <c r="H427" s="3" t="s">
        <v>6280</v>
      </c>
      <c r="I427" s="3" t="s">
        <v>4498</v>
      </c>
      <c r="J427" s="3"/>
      <c r="K427" s="3"/>
      <c r="L427" s="8"/>
    </row>
    <row r="428" spans="1:12" ht="24.75" x14ac:dyDescent="0.25">
      <c r="A428" s="6" t="s">
        <v>627</v>
      </c>
      <c r="B428" s="3" t="s">
        <v>4524</v>
      </c>
      <c r="C428" s="4">
        <v>1</v>
      </c>
      <c r="D428" s="5">
        <v>14.99</v>
      </c>
      <c r="E428" s="4" t="s">
        <v>4525</v>
      </c>
      <c r="F428" s="3" t="s">
        <v>5625</v>
      </c>
      <c r="G428" s="7" t="s">
        <v>6252</v>
      </c>
      <c r="H428" s="3" t="s">
        <v>6280</v>
      </c>
      <c r="I428" s="3" t="s">
        <v>4498</v>
      </c>
      <c r="J428" s="3"/>
      <c r="K428" s="3"/>
      <c r="L428" s="8"/>
    </row>
    <row r="429" spans="1:12" ht="24.75" x14ac:dyDescent="0.25">
      <c r="A429" s="6" t="s">
        <v>628</v>
      </c>
      <c r="B429" s="3" t="s">
        <v>622</v>
      </c>
      <c r="C429" s="4">
        <v>2</v>
      </c>
      <c r="D429" s="5">
        <v>29.98</v>
      </c>
      <c r="E429" s="4" t="s">
        <v>623</v>
      </c>
      <c r="F429" s="3" t="s">
        <v>5540</v>
      </c>
      <c r="G429" s="7" t="s">
        <v>6252</v>
      </c>
      <c r="H429" s="3" t="s">
        <v>6280</v>
      </c>
      <c r="I429" s="3" t="s">
        <v>4498</v>
      </c>
      <c r="J429" s="3"/>
      <c r="K429" s="3"/>
      <c r="L429" s="8"/>
    </row>
    <row r="430" spans="1:12" ht="24.75" x14ac:dyDescent="0.25">
      <c r="A430" s="6" t="s">
        <v>629</v>
      </c>
      <c r="B430" s="3" t="s">
        <v>616</v>
      </c>
      <c r="C430" s="4">
        <v>1</v>
      </c>
      <c r="D430" s="5">
        <v>14.99</v>
      </c>
      <c r="E430" s="4" t="s">
        <v>617</v>
      </c>
      <c r="F430" s="3" t="s">
        <v>5532</v>
      </c>
      <c r="G430" s="7" t="s">
        <v>6252</v>
      </c>
      <c r="H430" s="3" t="s">
        <v>6280</v>
      </c>
      <c r="I430" s="3" t="s">
        <v>4498</v>
      </c>
      <c r="J430" s="3"/>
      <c r="K430" s="3"/>
      <c r="L430" s="8"/>
    </row>
    <row r="431" spans="1:12" ht="24.75" x14ac:dyDescent="0.25">
      <c r="A431" s="6" t="s">
        <v>4529</v>
      </c>
      <c r="B431" s="3" t="s">
        <v>4503</v>
      </c>
      <c r="C431" s="4">
        <v>1</v>
      </c>
      <c r="D431" s="5">
        <v>14.99</v>
      </c>
      <c r="E431" s="4" t="s">
        <v>4504</v>
      </c>
      <c r="F431" s="3" t="s">
        <v>5532</v>
      </c>
      <c r="G431" s="7" t="s">
        <v>6252</v>
      </c>
      <c r="H431" s="3" t="s">
        <v>6280</v>
      </c>
      <c r="I431" s="3" t="s">
        <v>4498</v>
      </c>
      <c r="J431" s="3"/>
      <c r="K431" s="3"/>
      <c r="L431" s="8"/>
    </row>
    <row r="432" spans="1:12" ht="24.75" x14ac:dyDescent="0.25">
      <c r="A432" s="6" t="s">
        <v>630</v>
      </c>
      <c r="B432" s="3" t="s">
        <v>631</v>
      </c>
      <c r="C432" s="4">
        <v>4</v>
      </c>
      <c r="D432" s="5">
        <v>59.96</v>
      </c>
      <c r="E432" s="4" t="s">
        <v>632</v>
      </c>
      <c r="F432" s="3" t="s">
        <v>5593</v>
      </c>
      <c r="G432" s="7" t="s">
        <v>6252</v>
      </c>
      <c r="H432" s="3" t="s">
        <v>6280</v>
      </c>
      <c r="I432" s="3" t="s">
        <v>4498</v>
      </c>
      <c r="J432" s="3"/>
      <c r="K432" s="3"/>
      <c r="L432" s="8"/>
    </row>
    <row r="433" spans="1:12" ht="24.75" x14ac:dyDescent="0.25">
      <c r="A433" s="6" t="s">
        <v>633</v>
      </c>
      <c r="B433" s="3" t="s">
        <v>634</v>
      </c>
      <c r="C433" s="4">
        <v>1</v>
      </c>
      <c r="D433" s="5">
        <v>14.99</v>
      </c>
      <c r="E433" s="4" t="s">
        <v>635</v>
      </c>
      <c r="F433" s="3" t="s">
        <v>5661</v>
      </c>
      <c r="G433" s="7" t="s">
        <v>6252</v>
      </c>
      <c r="H433" s="3" t="s">
        <v>6280</v>
      </c>
      <c r="I433" s="3" t="s">
        <v>4498</v>
      </c>
      <c r="J433" s="3"/>
      <c r="K433" s="3"/>
      <c r="L433" s="8"/>
    </row>
    <row r="434" spans="1:12" ht="24.75" x14ac:dyDescent="0.25">
      <c r="A434" s="6" t="s">
        <v>636</v>
      </c>
      <c r="B434" s="3" t="s">
        <v>619</v>
      </c>
      <c r="C434" s="4">
        <v>2</v>
      </c>
      <c r="D434" s="5">
        <v>29.98</v>
      </c>
      <c r="E434" s="4" t="s">
        <v>620</v>
      </c>
      <c r="F434" s="3" t="s">
        <v>6496</v>
      </c>
      <c r="G434" s="7" t="s">
        <v>6252</v>
      </c>
      <c r="H434" s="3" t="s">
        <v>6280</v>
      </c>
      <c r="I434" s="3" t="s">
        <v>4498</v>
      </c>
      <c r="J434" s="3"/>
      <c r="K434" s="3"/>
      <c r="L434" s="8"/>
    </row>
    <row r="435" spans="1:12" ht="24.75" x14ac:dyDescent="0.25">
      <c r="A435" s="6" t="s">
        <v>637</v>
      </c>
      <c r="B435" s="3" t="s">
        <v>622</v>
      </c>
      <c r="C435" s="4">
        <v>3</v>
      </c>
      <c r="D435" s="5">
        <v>44.97</v>
      </c>
      <c r="E435" s="4" t="s">
        <v>623</v>
      </c>
      <c r="F435" s="3" t="s">
        <v>6496</v>
      </c>
      <c r="G435" s="7" t="s">
        <v>6252</v>
      </c>
      <c r="H435" s="3" t="s">
        <v>6280</v>
      </c>
      <c r="I435" s="3" t="s">
        <v>4498</v>
      </c>
      <c r="J435" s="3"/>
      <c r="K435" s="3"/>
      <c r="L435" s="8"/>
    </row>
    <row r="436" spans="1:12" ht="24.75" x14ac:dyDescent="0.25">
      <c r="A436" s="6" t="s">
        <v>638</v>
      </c>
      <c r="B436" s="3" t="s">
        <v>639</v>
      </c>
      <c r="C436" s="4">
        <v>11</v>
      </c>
      <c r="D436" s="5">
        <v>164.89</v>
      </c>
      <c r="E436" s="4" t="s">
        <v>640</v>
      </c>
      <c r="F436" s="3" t="s">
        <v>5593</v>
      </c>
      <c r="G436" s="7" t="s">
        <v>6252</v>
      </c>
      <c r="H436" s="3" t="s">
        <v>6280</v>
      </c>
      <c r="I436" s="3" t="s">
        <v>4498</v>
      </c>
      <c r="J436" s="3"/>
      <c r="K436" s="3"/>
      <c r="L436" s="8"/>
    </row>
    <row r="437" spans="1:12" ht="24.75" x14ac:dyDescent="0.25">
      <c r="A437" s="6" t="s">
        <v>641</v>
      </c>
      <c r="B437" s="3" t="s">
        <v>642</v>
      </c>
      <c r="C437" s="4">
        <v>1</v>
      </c>
      <c r="D437" s="5">
        <v>14.99</v>
      </c>
      <c r="E437" s="4" t="s">
        <v>643</v>
      </c>
      <c r="F437" s="3" t="s">
        <v>5593</v>
      </c>
      <c r="G437" s="7" t="s">
        <v>6252</v>
      </c>
      <c r="H437" s="3" t="s">
        <v>6280</v>
      </c>
      <c r="I437" s="3" t="s">
        <v>4498</v>
      </c>
      <c r="J437" s="3"/>
      <c r="K437" s="3"/>
      <c r="L437" s="8"/>
    </row>
    <row r="438" spans="1:12" ht="24.75" x14ac:dyDescent="0.25">
      <c r="A438" s="6" t="s">
        <v>644</v>
      </c>
      <c r="B438" s="3" t="s">
        <v>4527</v>
      </c>
      <c r="C438" s="4">
        <v>1</v>
      </c>
      <c r="D438" s="5">
        <v>14.99</v>
      </c>
      <c r="E438" s="4" t="s">
        <v>4528</v>
      </c>
      <c r="F438" s="3" t="s">
        <v>6335</v>
      </c>
      <c r="G438" s="7" t="s">
        <v>6252</v>
      </c>
      <c r="H438" s="3" t="s">
        <v>6280</v>
      </c>
      <c r="I438" s="3" t="s">
        <v>4498</v>
      </c>
      <c r="J438" s="3"/>
      <c r="K438" s="3"/>
      <c r="L438" s="8"/>
    </row>
    <row r="439" spans="1:12" ht="24.75" x14ac:dyDescent="0.25">
      <c r="A439" s="6" t="s">
        <v>645</v>
      </c>
      <c r="B439" s="3" t="s">
        <v>625</v>
      </c>
      <c r="C439" s="4">
        <v>1</v>
      </c>
      <c r="D439" s="5">
        <v>14.99</v>
      </c>
      <c r="E439" s="4" t="s">
        <v>626</v>
      </c>
      <c r="F439" s="3" t="s">
        <v>6983</v>
      </c>
      <c r="G439" s="7" t="s">
        <v>6252</v>
      </c>
      <c r="H439" s="3" t="s">
        <v>6280</v>
      </c>
      <c r="I439" s="3" t="s">
        <v>4498</v>
      </c>
      <c r="J439" s="3"/>
      <c r="K439" s="3"/>
      <c r="L439" s="8"/>
    </row>
    <row r="440" spans="1:12" ht="24.75" x14ac:dyDescent="0.25">
      <c r="A440" s="6" t="s">
        <v>646</v>
      </c>
      <c r="B440" s="3" t="s">
        <v>647</v>
      </c>
      <c r="C440" s="4">
        <v>1</v>
      </c>
      <c r="D440" s="5">
        <v>14.99</v>
      </c>
      <c r="E440" s="4" t="s">
        <v>648</v>
      </c>
      <c r="F440" s="3" t="s">
        <v>5532</v>
      </c>
      <c r="G440" s="7" t="s">
        <v>6252</v>
      </c>
      <c r="H440" s="3" t="s">
        <v>6280</v>
      </c>
      <c r="I440" s="3" t="s">
        <v>4498</v>
      </c>
      <c r="J440" s="3"/>
      <c r="K440" s="3"/>
      <c r="L440" s="8"/>
    </row>
    <row r="441" spans="1:12" ht="24.75" x14ac:dyDescent="0.25">
      <c r="A441" s="6" t="s">
        <v>4519</v>
      </c>
      <c r="B441" s="3" t="s">
        <v>4520</v>
      </c>
      <c r="C441" s="4">
        <v>10</v>
      </c>
      <c r="D441" s="5">
        <v>149.9</v>
      </c>
      <c r="E441" s="4" t="s">
        <v>4521</v>
      </c>
      <c r="F441" s="3" t="s">
        <v>5593</v>
      </c>
      <c r="G441" s="7" t="s">
        <v>6252</v>
      </c>
      <c r="H441" s="3" t="s">
        <v>6280</v>
      </c>
      <c r="I441" s="3" t="s">
        <v>4498</v>
      </c>
      <c r="J441" s="3"/>
      <c r="K441" s="3"/>
      <c r="L441" s="8"/>
    </row>
    <row r="442" spans="1:12" ht="24.75" x14ac:dyDescent="0.25">
      <c r="A442" s="6" t="s">
        <v>649</v>
      </c>
      <c r="B442" s="3" t="s">
        <v>4496</v>
      </c>
      <c r="C442" s="4">
        <v>1</v>
      </c>
      <c r="D442" s="5">
        <v>14.99</v>
      </c>
      <c r="E442" s="4" t="s">
        <v>4497</v>
      </c>
      <c r="F442" s="3" t="s">
        <v>5540</v>
      </c>
      <c r="G442" s="7" t="s">
        <v>6252</v>
      </c>
      <c r="H442" s="3" t="s">
        <v>6280</v>
      </c>
      <c r="I442" s="3" t="s">
        <v>4498</v>
      </c>
      <c r="J442" s="3"/>
      <c r="K442" s="3"/>
      <c r="L442" s="8"/>
    </row>
    <row r="443" spans="1:12" ht="24.75" x14ac:dyDescent="0.25">
      <c r="A443" s="6" t="s">
        <v>650</v>
      </c>
      <c r="B443" s="3" t="s">
        <v>622</v>
      </c>
      <c r="C443" s="4">
        <v>2</v>
      </c>
      <c r="D443" s="5">
        <v>29.98</v>
      </c>
      <c r="E443" s="4" t="s">
        <v>623</v>
      </c>
      <c r="F443" s="3" t="s">
        <v>5532</v>
      </c>
      <c r="G443" s="7" t="s">
        <v>6252</v>
      </c>
      <c r="H443" s="3" t="s">
        <v>6280</v>
      </c>
      <c r="I443" s="3" t="s">
        <v>4498</v>
      </c>
      <c r="J443" s="3"/>
      <c r="K443" s="3"/>
      <c r="L443" s="8"/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L349"/>
  <sheetViews>
    <sheetView workbookViewId="0">
      <selection activeCell="E18" sqref="E18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9.7109375" customWidth="1"/>
    <col min="5" max="5" width="14.285156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2" t="s">
        <v>5519</v>
      </c>
      <c r="B1" s="2" t="s">
        <v>5520</v>
      </c>
      <c r="C1" s="2" t="s">
        <v>5521</v>
      </c>
      <c r="D1" s="2" t="s">
        <v>5518</v>
      </c>
      <c r="E1" s="2" t="s">
        <v>5522</v>
      </c>
      <c r="F1" s="2" t="s">
        <v>5523</v>
      </c>
      <c r="G1" s="2" t="s">
        <v>5524</v>
      </c>
      <c r="H1" s="2" t="s">
        <v>5525</v>
      </c>
      <c r="I1" s="2" t="s">
        <v>5526</v>
      </c>
      <c r="J1" s="2" t="s">
        <v>5527</v>
      </c>
      <c r="K1" s="2" t="s">
        <v>5528</v>
      </c>
      <c r="L1" s="2" t="s">
        <v>5529</v>
      </c>
    </row>
    <row r="2" spans="1:12" ht="24.75" x14ac:dyDescent="0.25">
      <c r="A2" s="6" t="s">
        <v>651</v>
      </c>
      <c r="B2" s="3" t="s">
        <v>652</v>
      </c>
      <c r="C2" s="4">
        <v>1</v>
      </c>
      <c r="D2" s="5">
        <v>168</v>
      </c>
      <c r="E2" s="4">
        <v>710729390004</v>
      </c>
      <c r="F2" s="3" t="s">
        <v>5803</v>
      </c>
      <c r="G2" s="7" t="s">
        <v>5560</v>
      </c>
      <c r="H2" s="3" t="s">
        <v>5534</v>
      </c>
      <c r="I2" s="3" t="s">
        <v>5535</v>
      </c>
      <c r="J2" s="3" t="s">
        <v>5536</v>
      </c>
      <c r="K2" s="3" t="s">
        <v>5553</v>
      </c>
      <c r="L2" s="8" t="str">
        <f>HYPERLINK("http://slimages.macys.com/is/image/MCY/14479331 ")</f>
        <v xml:space="preserve">http://slimages.macys.com/is/image/MCY/14479331 </v>
      </c>
    </row>
    <row r="3" spans="1:12" ht="48.75" x14ac:dyDescent="0.25">
      <c r="A3" s="6" t="s">
        <v>653</v>
      </c>
      <c r="B3" s="3" t="s">
        <v>654</v>
      </c>
      <c r="C3" s="4">
        <v>1</v>
      </c>
      <c r="D3" s="5">
        <v>183</v>
      </c>
      <c r="E3" s="4" t="s">
        <v>655</v>
      </c>
      <c r="F3" s="3" t="s">
        <v>5532</v>
      </c>
      <c r="G3" s="7" t="s">
        <v>5249</v>
      </c>
      <c r="H3" s="3" t="s">
        <v>7059</v>
      </c>
      <c r="I3" s="3" t="s">
        <v>5863</v>
      </c>
      <c r="J3" s="3" t="s">
        <v>5536</v>
      </c>
      <c r="K3" s="3" t="s">
        <v>4564</v>
      </c>
      <c r="L3" s="8" t="str">
        <f>HYPERLINK("http://slimages.macys.com/is/image/MCY/14841843 ")</f>
        <v xml:space="preserve">http://slimages.macys.com/is/image/MCY/14841843 </v>
      </c>
    </row>
    <row r="4" spans="1:12" ht="24.75" x14ac:dyDescent="0.25">
      <c r="A4" s="6" t="s">
        <v>656</v>
      </c>
      <c r="B4" s="3" t="s">
        <v>7032</v>
      </c>
      <c r="C4" s="4">
        <v>1</v>
      </c>
      <c r="D4" s="5">
        <v>148</v>
      </c>
      <c r="E4" s="4">
        <v>710792889003</v>
      </c>
      <c r="F4" s="3" t="s">
        <v>5661</v>
      </c>
      <c r="G4" s="7" t="s">
        <v>5533</v>
      </c>
      <c r="H4" s="3" t="s">
        <v>5534</v>
      </c>
      <c r="I4" s="3" t="s">
        <v>5535</v>
      </c>
      <c r="J4" s="3" t="s">
        <v>5536</v>
      </c>
      <c r="K4" s="3" t="s">
        <v>6610</v>
      </c>
      <c r="L4" s="8" t="str">
        <f>HYPERLINK("http://slimages.macys.com/is/image/MCY/16417118 ")</f>
        <v xml:space="preserve">http://slimages.macys.com/is/image/MCY/16417118 </v>
      </c>
    </row>
    <row r="5" spans="1:12" ht="24.75" x14ac:dyDescent="0.25">
      <c r="A5" s="6" t="s">
        <v>657</v>
      </c>
      <c r="B5" s="3" t="s">
        <v>658</v>
      </c>
      <c r="C5" s="4">
        <v>1</v>
      </c>
      <c r="D5" s="5">
        <v>128</v>
      </c>
      <c r="E5" s="4" t="s">
        <v>659</v>
      </c>
      <c r="F5" s="3" t="s">
        <v>6075</v>
      </c>
      <c r="G5" s="7" t="s">
        <v>6500</v>
      </c>
      <c r="H5" s="3" t="s">
        <v>5868</v>
      </c>
      <c r="I5" s="3" t="s">
        <v>5869</v>
      </c>
      <c r="J5" s="3" t="s">
        <v>5536</v>
      </c>
      <c r="K5" s="3" t="s">
        <v>6021</v>
      </c>
      <c r="L5" s="8" t="str">
        <f>HYPERLINK("http://slimages.macys.com/is/image/MCY/15416657 ")</f>
        <v xml:space="preserve">http://slimages.macys.com/is/image/MCY/15416657 </v>
      </c>
    </row>
    <row r="6" spans="1:12" ht="36.75" x14ac:dyDescent="0.25">
      <c r="A6" s="6" t="s">
        <v>660</v>
      </c>
      <c r="B6" s="3" t="s">
        <v>661</v>
      </c>
      <c r="C6" s="4">
        <v>1</v>
      </c>
      <c r="D6" s="5">
        <v>147</v>
      </c>
      <c r="E6" s="4" t="s">
        <v>662</v>
      </c>
      <c r="F6" s="3" t="s">
        <v>5640</v>
      </c>
      <c r="G6" s="7" t="s">
        <v>4628</v>
      </c>
      <c r="H6" s="3" t="s">
        <v>7059</v>
      </c>
      <c r="I6" s="3" t="s">
        <v>7138</v>
      </c>
      <c r="J6" s="3" t="s">
        <v>5536</v>
      </c>
      <c r="K6" s="3" t="s">
        <v>7038</v>
      </c>
      <c r="L6" s="8" t="str">
        <f>HYPERLINK("http://slimages.macys.com/is/image/MCY/16529316 ")</f>
        <v xml:space="preserve">http://slimages.macys.com/is/image/MCY/16529316 </v>
      </c>
    </row>
    <row r="7" spans="1:12" x14ac:dyDescent="0.25">
      <c r="A7" s="6" t="s">
        <v>663</v>
      </c>
      <c r="B7" s="3" t="s">
        <v>664</v>
      </c>
      <c r="C7" s="4">
        <v>1</v>
      </c>
      <c r="D7" s="5">
        <v>139</v>
      </c>
      <c r="E7" s="4" t="s">
        <v>665</v>
      </c>
      <c r="F7" s="3" t="s">
        <v>5783</v>
      </c>
      <c r="G7" s="7" t="s">
        <v>666</v>
      </c>
      <c r="H7" s="3" t="s">
        <v>3821</v>
      </c>
      <c r="I7" s="3" t="s">
        <v>5716</v>
      </c>
      <c r="J7" s="3" t="s">
        <v>5536</v>
      </c>
      <c r="K7" s="3" t="s">
        <v>5574</v>
      </c>
      <c r="L7" s="8" t="str">
        <f>HYPERLINK("http://slimages.macys.com/is/image/MCY/15628406 ")</f>
        <v xml:space="preserve">http://slimages.macys.com/is/image/MCY/15628406 </v>
      </c>
    </row>
    <row r="8" spans="1:12" ht="24.75" x14ac:dyDescent="0.25">
      <c r="A8" s="6" t="s">
        <v>667</v>
      </c>
      <c r="B8" s="3" t="s">
        <v>664</v>
      </c>
      <c r="C8" s="4">
        <v>1</v>
      </c>
      <c r="D8" s="5">
        <v>139</v>
      </c>
      <c r="E8" s="4" t="s">
        <v>665</v>
      </c>
      <c r="F8" s="3" t="s">
        <v>5546</v>
      </c>
      <c r="G8" s="7" t="s">
        <v>666</v>
      </c>
      <c r="H8" s="3" t="s">
        <v>3821</v>
      </c>
      <c r="I8" s="3" t="s">
        <v>5716</v>
      </c>
      <c r="J8" s="3" t="s">
        <v>5536</v>
      </c>
      <c r="K8" s="3" t="s">
        <v>5574</v>
      </c>
      <c r="L8" s="8" t="str">
        <f>HYPERLINK("http://slimages.macys.com/is/image/MCY/15628406 ")</f>
        <v xml:space="preserve">http://slimages.macys.com/is/image/MCY/15628406 </v>
      </c>
    </row>
    <row r="9" spans="1:12" x14ac:dyDescent="0.25">
      <c r="A9" s="6" t="s">
        <v>668</v>
      </c>
      <c r="B9" s="3" t="s">
        <v>669</v>
      </c>
      <c r="C9" s="4">
        <v>1</v>
      </c>
      <c r="D9" s="5">
        <v>139</v>
      </c>
      <c r="E9" s="4" t="s">
        <v>670</v>
      </c>
      <c r="F9" s="3" t="s">
        <v>5783</v>
      </c>
      <c r="G9" s="7" t="s">
        <v>671</v>
      </c>
      <c r="H9" s="3" t="s">
        <v>3821</v>
      </c>
      <c r="I9" s="3" t="s">
        <v>5716</v>
      </c>
      <c r="J9" s="3" t="s">
        <v>5536</v>
      </c>
      <c r="K9" s="3" t="s">
        <v>5587</v>
      </c>
      <c r="L9" s="8" t="str">
        <f>HYPERLINK("http://slimages.macys.com/is/image/MCY/15629090 ")</f>
        <v xml:space="preserve">http://slimages.macys.com/is/image/MCY/15629090 </v>
      </c>
    </row>
    <row r="10" spans="1:12" ht="24.75" x14ac:dyDescent="0.25">
      <c r="A10" s="6" t="s">
        <v>672</v>
      </c>
      <c r="B10" s="3" t="s">
        <v>673</v>
      </c>
      <c r="C10" s="4">
        <v>1</v>
      </c>
      <c r="D10" s="5">
        <v>90</v>
      </c>
      <c r="E10" s="4" t="s">
        <v>674</v>
      </c>
      <c r="F10" s="3" t="s">
        <v>5532</v>
      </c>
      <c r="G10" s="7" t="s">
        <v>4588</v>
      </c>
      <c r="H10" s="3" t="s">
        <v>7059</v>
      </c>
      <c r="I10" s="3" t="s">
        <v>7138</v>
      </c>
      <c r="J10" s="3" t="s">
        <v>5536</v>
      </c>
      <c r="K10" s="3" t="s">
        <v>675</v>
      </c>
      <c r="L10" s="8" t="str">
        <f>HYPERLINK("http://slimages.macys.com/is/image/MCY/15124730 ")</f>
        <v xml:space="preserve">http://slimages.macys.com/is/image/MCY/15124730 </v>
      </c>
    </row>
    <row r="11" spans="1:12" ht="60.75" x14ac:dyDescent="0.25">
      <c r="A11" s="6" t="s">
        <v>676</v>
      </c>
      <c r="B11" s="3" t="s">
        <v>677</v>
      </c>
      <c r="C11" s="4">
        <v>1</v>
      </c>
      <c r="D11" s="5">
        <v>148</v>
      </c>
      <c r="E11" s="4" t="s">
        <v>678</v>
      </c>
      <c r="F11" s="3" t="s">
        <v>5625</v>
      </c>
      <c r="G11" s="7" t="s">
        <v>4563</v>
      </c>
      <c r="H11" s="3" t="s">
        <v>7053</v>
      </c>
      <c r="I11" s="3" t="s">
        <v>4606</v>
      </c>
      <c r="J11" s="3" t="s">
        <v>5536</v>
      </c>
      <c r="K11" s="3" t="s">
        <v>679</v>
      </c>
      <c r="L11" s="8" t="str">
        <f>HYPERLINK("http://slimages.macys.com/is/image/MCY/13611741 ")</f>
        <v xml:space="preserve">http://slimages.macys.com/is/image/MCY/13611741 </v>
      </c>
    </row>
    <row r="12" spans="1:12" ht="36.75" x14ac:dyDescent="0.25">
      <c r="A12" s="6" t="s">
        <v>680</v>
      </c>
      <c r="B12" s="3" t="s">
        <v>681</v>
      </c>
      <c r="C12" s="4">
        <v>1</v>
      </c>
      <c r="D12" s="5">
        <v>149</v>
      </c>
      <c r="E12" s="4" t="s">
        <v>682</v>
      </c>
      <c r="F12" s="3" t="s">
        <v>5552</v>
      </c>
      <c r="G12" s="7" t="s">
        <v>4568</v>
      </c>
      <c r="H12" s="3" t="s">
        <v>7059</v>
      </c>
      <c r="I12" s="3" t="s">
        <v>5934</v>
      </c>
      <c r="J12" s="3" t="s">
        <v>5536</v>
      </c>
      <c r="K12" s="3" t="s">
        <v>683</v>
      </c>
      <c r="L12" s="8" t="str">
        <f>HYPERLINK("http://slimages.macys.com/is/image/MCY/13300973 ")</f>
        <v xml:space="preserve">http://slimages.macys.com/is/image/MCY/13300973 </v>
      </c>
    </row>
    <row r="13" spans="1:12" ht="24.75" x14ac:dyDescent="0.25">
      <c r="A13" s="6" t="s">
        <v>684</v>
      </c>
      <c r="B13" s="3" t="s">
        <v>4622</v>
      </c>
      <c r="C13" s="4">
        <v>1</v>
      </c>
      <c r="D13" s="5">
        <v>134</v>
      </c>
      <c r="E13" s="4" t="s">
        <v>4623</v>
      </c>
      <c r="F13" s="3" t="s">
        <v>5532</v>
      </c>
      <c r="G13" s="7" t="s">
        <v>4572</v>
      </c>
      <c r="H13" s="3" t="s">
        <v>7059</v>
      </c>
      <c r="I13" s="3" t="s">
        <v>5934</v>
      </c>
      <c r="J13" s="3" t="s">
        <v>5536</v>
      </c>
      <c r="K13" s="3" t="s">
        <v>4594</v>
      </c>
      <c r="L13" s="8" t="str">
        <f>HYPERLINK("http://slimages.macys.com/is/image/MCY/14989251 ")</f>
        <v xml:space="preserve">http://slimages.macys.com/is/image/MCY/14989251 </v>
      </c>
    </row>
    <row r="14" spans="1:12" ht="60.75" x14ac:dyDescent="0.25">
      <c r="A14" s="6" t="s">
        <v>685</v>
      </c>
      <c r="B14" s="3" t="s">
        <v>686</v>
      </c>
      <c r="C14" s="4">
        <v>1</v>
      </c>
      <c r="D14" s="5">
        <v>155</v>
      </c>
      <c r="E14" s="4" t="s">
        <v>687</v>
      </c>
      <c r="F14" s="3" t="s">
        <v>5540</v>
      </c>
      <c r="G14" s="7" t="s">
        <v>688</v>
      </c>
      <c r="H14" s="3" t="s">
        <v>7053</v>
      </c>
      <c r="I14" s="3" t="s">
        <v>689</v>
      </c>
      <c r="J14" s="3" t="s">
        <v>5536</v>
      </c>
      <c r="K14" s="3" t="s">
        <v>690</v>
      </c>
      <c r="L14" s="8" t="str">
        <f>HYPERLINK("http://slimages.macys.com/is/image/MCY/12299186 ")</f>
        <v xml:space="preserve">http://slimages.macys.com/is/image/MCY/12299186 </v>
      </c>
    </row>
    <row r="15" spans="1:12" ht="24.75" x14ac:dyDescent="0.25">
      <c r="A15" s="6" t="s">
        <v>691</v>
      </c>
      <c r="B15" s="3" t="s">
        <v>5286</v>
      </c>
      <c r="C15" s="4">
        <v>1</v>
      </c>
      <c r="D15" s="5">
        <v>109</v>
      </c>
      <c r="E15" s="4" t="s">
        <v>692</v>
      </c>
      <c r="F15" s="3" t="s">
        <v>5625</v>
      </c>
      <c r="G15" s="7" t="s">
        <v>5533</v>
      </c>
      <c r="H15" s="3" t="s">
        <v>5547</v>
      </c>
      <c r="I15" s="3" t="s">
        <v>5548</v>
      </c>
      <c r="J15" s="3" t="s">
        <v>5536</v>
      </c>
      <c r="K15" s="3" t="s">
        <v>5587</v>
      </c>
      <c r="L15" s="8" t="str">
        <f>HYPERLINK("http://slimages.macys.com/is/image/MCY/15868551 ")</f>
        <v xml:space="preserve">http://slimages.macys.com/is/image/MCY/15868551 </v>
      </c>
    </row>
    <row r="16" spans="1:12" x14ac:dyDescent="0.25">
      <c r="A16" s="6" t="s">
        <v>693</v>
      </c>
      <c r="B16" s="3" t="s">
        <v>694</v>
      </c>
      <c r="C16" s="4">
        <v>1</v>
      </c>
      <c r="D16" s="5">
        <v>79.989999999999995</v>
      </c>
      <c r="E16" s="4">
        <v>377400000</v>
      </c>
      <c r="F16" s="3" t="s">
        <v>5540</v>
      </c>
      <c r="G16" s="7" t="s">
        <v>5605</v>
      </c>
      <c r="H16" s="3" t="s">
        <v>5606</v>
      </c>
      <c r="I16" s="3" t="s">
        <v>5607</v>
      </c>
      <c r="J16" s="3" t="s">
        <v>5536</v>
      </c>
      <c r="K16" s="3" t="s">
        <v>5549</v>
      </c>
      <c r="L16" s="8" t="str">
        <f>HYPERLINK("http://slimages.macys.com/is/image/MCY/15352973 ")</f>
        <v xml:space="preserve">http://slimages.macys.com/is/image/MCY/15352973 </v>
      </c>
    </row>
    <row r="17" spans="1:12" ht="24.75" x14ac:dyDescent="0.25">
      <c r="A17" s="6" t="s">
        <v>695</v>
      </c>
      <c r="B17" s="3" t="s">
        <v>2685</v>
      </c>
      <c r="C17" s="4">
        <v>1</v>
      </c>
      <c r="D17" s="5">
        <v>130</v>
      </c>
      <c r="E17" s="4" t="s">
        <v>2686</v>
      </c>
      <c r="F17" s="3" t="s">
        <v>5532</v>
      </c>
      <c r="G17" s="7" t="s">
        <v>5560</v>
      </c>
      <c r="H17" s="3" t="s">
        <v>2687</v>
      </c>
      <c r="I17" s="3" t="s">
        <v>2688</v>
      </c>
      <c r="J17" s="3" t="s">
        <v>5536</v>
      </c>
      <c r="K17" s="3" t="s">
        <v>5594</v>
      </c>
      <c r="L17" s="8" t="str">
        <f>HYPERLINK("http://slimages.macys.com/is/image/MCY/15721285 ")</f>
        <v xml:space="preserve">http://slimages.macys.com/is/image/MCY/15721285 </v>
      </c>
    </row>
    <row r="18" spans="1:12" ht="48.75" x14ac:dyDescent="0.25">
      <c r="A18" s="6" t="s">
        <v>696</v>
      </c>
      <c r="B18" s="3" t="s">
        <v>697</v>
      </c>
      <c r="C18" s="4">
        <v>2</v>
      </c>
      <c r="D18" s="5">
        <v>319.98</v>
      </c>
      <c r="E18" s="4" t="s">
        <v>698</v>
      </c>
      <c r="F18" s="3" t="s">
        <v>5540</v>
      </c>
      <c r="G18" s="7" t="s">
        <v>5596</v>
      </c>
      <c r="H18" s="3" t="s">
        <v>4533</v>
      </c>
      <c r="I18" s="3" t="s">
        <v>699</v>
      </c>
      <c r="J18" s="3" t="s">
        <v>5536</v>
      </c>
      <c r="K18" s="3" t="s">
        <v>700</v>
      </c>
      <c r="L18" s="8" t="str">
        <f>HYPERLINK("http://slimages.macys.com/is/image/MCY/15172093 ")</f>
        <v xml:space="preserve">http://slimages.macys.com/is/image/MCY/15172093 </v>
      </c>
    </row>
    <row r="19" spans="1:12" x14ac:dyDescent="0.25">
      <c r="A19" s="6" t="s">
        <v>701</v>
      </c>
      <c r="B19" s="3" t="s">
        <v>702</v>
      </c>
      <c r="C19" s="4">
        <v>1</v>
      </c>
      <c r="D19" s="5">
        <v>200</v>
      </c>
      <c r="E19" s="4">
        <v>100079848</v>
      </c>
      <c r="F19" s="3" t="s">
        <v>5532</v>
      </c>
      <c r="G19" s="7" t="s">
        <v>5533</v>
      </c>
      <c r="H19" s="3" t="s">
        <v>5585</v>
      </c>
      <c r="I19" s="3" t="s">
        <v>5586</v>
      </c>
      <c r="J19" s="3" t="s">
        <v>5536</v>
      </c>
      <c r="K19" s="3" t="s">
        <v>5727</v>
      </c>
      <c r="L19" s="8" t="str">
        <f>HYPERLINK("http://slimages.macys.com/is/image/MCY/15137002 ")</f>
        <v xml:space="preserve">http://slimages.macys.com/is/image/MCY/15137002 </v>
      </c>
    </row>
    <row r="20" spans="1:12" ht="24.75" x14ac:dyDescent="0.25">
      <c r="A20" s="6" t="s">
        <v>703</v>
      </c>
      <c r="B20" s="3" t="s">
        <v>704</v>
      </c>
      <c r="C20" s="4">
        <v>2</v>
      </c>
      <c r="D20" s="5">
        <v>276</v>
      </c>
      <c r="E20" s="4">
        <v>5042151240500</v>
      </c>
      <c r="F20" s="3" t="s">
        <v>5578</v>
      </c>
      <c r="G20" s="7" t="s">
        <v>5560</v>
      </c>
      <c r="H20" s="3" t="s">
        <v>2658</v>
      </c>
      <c r="I20" s="3" t="s">
        <v>3435</v>
      </c>
      <c r="J20" s="3" t="s">
        <v>5536</v>
      </c>
      <c r="K20" s="3" t="s">
        <v>5549</v>
      </c>
      <c r="L20" s="8" t="str">
        <f>HYPERLINK("http://slimages.macys.com/is/image/MCY/16373158 ")</f>
        <v xml:space="preserve">http://slimages.macys.com/is/image/MCY/16373158 </v>
      </c>
    </row>
    <row r="21" spans="1:12" ht="24.75" x14ac:dyDescent="0.25">
      <c r="A21" s="6" t="s">
        <v>705</v>
      </c>
      <c r="B21" s="3" t="s">
        <v>7063</v>
      </c>
      <c r="C21" s="4">
        <v>1</v>
      </c>
      <c r="D21" s="5">
        <v>128</v>
      </c>
      <c r="E21" s="4" t="s">
        <v>7064</v>
      </c>
      <c r="F21" s="3" t="s">
        <v>5793</v>
      </c>
      <c r="G21" s="7" t="s">
        <v>5596</v>
      </c>
      <c r="H21" s="3" t="s">
        <v>5617</v>
      </c>
      <c r="I21" s="3" t="s">
        <v>5618</v>
      </c>
      <c r="J21" s="3" t="s">
        <v>5536</v>
      </c>
      <c r="K21" s="3" t="s">
        <v>5549</v>
      </c>
      <c r="L21" s="8" t="str">
        <f>HYPERLINK("http://slimages.macys.com/is/image/MCY/15956204 ")</f>
        <v xml:space="preserve">http://slimages.macys.com/is/image/MCY/15956204 </v>
      </c>
    </row>
    <row r="22" spans="1:12" ht="24.75" x14ac:dyDescent="0.25">
      <c r="A22" s="6" t="s">
        <v>706</v>
      </c>
      <c r="B22" s="3" t="s">
        <v>4658</v>
      </c>
      <c r="C22" s="4">
        <v>1</v>
      </c>
      <c r="D22" s="5">
        <v>89.5</v>
      </c>
      <c r="E22" s="4" t="s">
        <v>707</v>
      </c>
      <c r="F22" s="3" t="s">
        <v>5783</v>
      </c>
      <c r="G22" s="7"/>
      <c r="H22" s="3" t="s">
        <v>3821</v>
      </c>
      <c r="I22" s="3" t="s">
        <v>5716</v>
      </c>
      <c r="J22" s="3" t="s">
        <v>5536</v>
      </c>
      <c r="K22" s="3" t="s">
        <v>5727</v>
      </c>
      <c r="L22" s="8" t="str">
        <f>HYPERLINK("http://slimages.macys.com/is/image/MCY/15626350 ")</f>
        <v xml:space="preserve">http://slimages.macys.com/is/image/MCY/15626350 </v>
      </c>
    </row>
    <row r="23" spans="1:12" x14ac:dyDescent="0.25">
      <c r="A23" s="6" t="s">
        <v>708</v>
      </c>
      <c r="B23" s="3" t="s">
        <v>709</v>
      </c>
      <c r="C23" s="4">
        <v>1</v>
      </c>
      <c r="D23" s="5">
        <v>89.5</v>
      </c>
      <c r="E23" s="4">
        <v>710680792002</v>
      </c>
      <c r="F23" s="3" t="s">
        <v>5532</v>
      </c>
      <c r="G23" s="7" t="s">
        <v>5598</v>
      </c>
      <c r="H23" s="3" t="s">
        <v>5534</v>
      </c>
      <c r="I23" s="3" t="s">
        <v>5535</v>
      </c>
      <c r="J23" s="3" t="s">
        <v>5536</v>
      </c>
      <c r="K23" s="3" t="s">
        <v>5594</v>
      </c>
      <c r="L23" s="8" t="str">
        <f>HYPERLINK("http://slimages.macys.com/is/image/MCY/14652351 ")</f>
        <v xml:space="preserve">http://slimages.macys.com/is/image/MCY/14652351 </v>
      </c>
    </row>
    <row r="24" spans="1:12" x14ac:dyDescent="0.25">
      <c r="A24" s="6" t="s">
        <v>710</v>
      </c>
      <c r="B24" s="3" t="s">
        <v>711</v>
      </c>
      <c r="C24" s="4">
        <v>1</v>
      </c>
      <c r="D24" s="5">
        <v>53.5</v>
      </c>
      <c r="E24" s="4">
        <v>5140540</v>
      </c>
      <c r="F24" s="3" t="s">
        <v>6983</v>
      </c>
      <c r="G24" s="7" t="s">
        <v>2969</v>
      </c>
      <c r="H24" s="3" t="s">
        <v>5606</v>
      </c>
      <c r="I24" s="3" t="s">
        <v>5607</v>
      </c>
      <c r="J24" s="3" t="s">
        <v>5536</v>
      </c>
      <c r="K24" s="3" t="s">
        <v>5558</v>
      </c>
      <c r="L24" s="8" t="str">
        <f>HYPERLINK("http://slimages.macys.com/is/image/MCY/1934881 ")</f>
        <v xml:space="preserve">http://slimages.macys.com/is/image/MCY/1934881 </v>
      </c>
    </row>
    <row r="25" spans="1:12" ht="36.75" x14ac:dyDescent="0.25">
      <c r="A25" s="6" t="s">
        <v>712</v>
      </c>
      <c r="B25" s="3" t="s">
        <v>4566</v>
      </c>
      <c r="C25" s="4">
        <v>1</v>
      </c>
      <c r="D25" s="5">
        <v>90</v>
      </c>
      <c r="E25" s="4" t="s">
        <v>4656</v>
      </c>
      <c r="F25" s="3" t="s">
        <v>5803</v>
      </c>
      <c r="G25" s="7" t="s">
        <v>5557</v>
      </c>
      <c r="H25" s="3" t="s">
        <v>7099</v>
      </c>
      <c r="I25" s="3" t="s">
        <v>5934</v>
      </c>
      <c r="J25" s="3" t="s">
        <v>5536</v>
      </c>
      <c r="K25" s="3" t="s">
        <v>7038</v>
      </c>
      <c r="L25" s="8" t="str">
        <f>HYPERLINK("http://slimages.macys.com/is/image/MCY/13947562 ")</f>
        <v xml:space="preserve">http://slimages.macys.com/is/image/MCY/13947562 </v>
      </c>
    </row>
    <row r="26" spans="1:12" ht="36.75" x14ac:dyDescent="0.25">
      <c r="A26" s="6" t="s">
        <v>713</v>
      </c>
      <c r="B26" s="3" t="s">
        <v>714</v>
      </c>
      <c r="C26" s="4">
        <v>1</v>
      </c>
      <c r="D26" s="5">
        <v>77</v>
      </c>
      <c r="E26" s="4" t="s">
        <v>715</v>
      </c>
      <c r="F26" s="3" t="s">
        <v>5532</v>
      </c>
      <c r="G26" s="7" t="s">
        <v>5567</v>
      </c>
      <c r="H26" s="3" t="s">
        <v>7099</v>
      </c>
      <c r="I26" s="3" t="s">
        <v>5863</v>
      </c>
      <c r="J26" s="3" t="s">
        <v>5536</v>
      </c>
      <c r="K26" s="3" t="s">
        <v>7038</v>
      </c>
      <c r="L26" s="8" t="str">
        <f>HYPERLINK("http://slimages.macys.com/is/image/MCY/14443886 ")</f>
        <v xml:space="preserve">http://slimages.macys.com/is/image/MCY/14443886 </v>
      </c>
    </row>
    <row r="27" spans="1:12" ht="24.75" x14ac:dyDescent="0.25">
      <c r="A27" s="6" t="s">
        <v>716</v>
      </c>
      <c r="B27" s="3" t="s">
        <v>717</v>
      </c>
      <c r="C27" s="4">
        <v>1</v>
      </c>
      <c r="D27" s="5">
        <v>79.5</v>
      </c>
      <c r="E27" s="4" t="s">
        <v>718</v>
      </c>
      <c r="F27" s="3" t="s">
        <v>5977</v>
      </c>
      <c r="G27" s="7" t="s">
        <v>5656</v>
      </c>
      <c r="H27" s="3" t="s">
        <v>5715</v>
      </c>
      <c r="I27" s="3" t="s">
        <v>5716</v>
      </c>
      <c r="J27" s="3" t="s">
        <v>5536</v>
      </c>
      <c r="K27" s="3" t="s">
        <v>719</v>
      </c>
      <c r="L27" s="8" t="str">
        <f>HYPERLINK("http://slimages.macys.com/is/image/MCY/15328133 ")</f>
        <v xml:space="preserve">http://slimages.macys.com/is/image/MCY/15328133 </v>
      </c>
    </row>
    <row r="28" spans="1:12" ht="24.75" x14ac:dyDescent="0.25">
      <c r="A28" s="6" t="s">
        <v>720</v>
      </c>
      <c r="B28" s="3" t="s">
        <v>721</v>
      </c>
      <c r="C28" s="4">
        <v>1</v>
      </c>
      <c r="D28" s="5">
        <v>79.5</v>
      </c>
      <c r="E28" s="4" t="s">
        <v>722</v>
      </c>
      <c r="F28" s="3" t="s">
        <v>5578</v>
      </c>
      <c r="G28" s="7" t="s">
        <v>5707</v>
      </c>
      <c r="H28" s="3" t="s">
        <v>5715</v>
      </c>
      <c r="I28" s="3" t="s">
        <v>5716</v>
      </c>
      <c r="J28" s="3" t="s">
        <v>5536</v>
      </c>
      <c r="K28" s="3" t="s">
        <v>5641</v>
      </c>
      <c r="L28" s="8" t="str">
        <f>HYPERLINK("http://slimages.macys.com/is/image/MCY/14347551 ")</f>
        <v xml:space="preserve">http://slimages.macys.com/is/image/MCY/14347551 </v>
      </c>
    </row>
    <row r="29" spans="1:12" ht="24.75" x14ac:dyDescent="0.25">
      <c r="A29" s="6" t="s">
        <v>723</v>
      </c>
      <c r="B29" s="3" t="s">
        <v>724</v>
      </c>
      <c r="C29" s="4">
        <v>1</v>
      </c>
      <c r="D29" s="5">
        <v>79</v>
      </c>
      <c r="E29" s="4" t="s">
        <v>725</v>
      </c>
      <c r="F29" s="3" t="s">
        <v>5803</v>
      </c>
      <c r="G29" s="7" t="s">
        <v>5596</v>
      </c>
      <c r="H29" s="3" t="s">
        <v>7157</v>
      </c>
      <c r="I29" s="3" t="s">
        <v>7158</v>
      </c>
      <c r="J29" s="3" t="s">
        <v>5536</v>
      </c>
      <c r="K29" s="3" t="s">
        <v>5727</v>
      </c>
      <c r="L29" s="8" t="str">
        <f>HYPERLINK("http://slimages.macys.com/is/image/MCY/16075789 ")</f>
        <v xml:space="preserve">http://slimages.macys.com/is/image/MCY/16075789 </v>
      </c>
    </row>
    <row r="30" spans="1:12" ht="24.75" x14ac:dyDescent="0.25">
      <c r="A30" s="6" t="s">
        <v>726</v>
      </c>
      <c r="B30" s="3" t="s">
        <v>7101</v>
      </c>
      <c r="C30" s="4">
        <v>1</v>
      </c>
      <c r="D30" s="5">
        <v>89.5</v>
      </c>
      <c r="E30" s="4" t="s">
        <v>7102</v>
      </c>
      <c r="F30" s="3" t="s">
        <v>5745</v>
      </c>
      <c r="G30" s="7" t="s">
        <v>6626</v>
      </c>
      <c r="H30" s="3" t="s">
        <v>7088</v>
      </c>
      <c r="I30" s="3" t="s">
        <v>7089</v>
      </c>
      <c r="J30" s="3" t="s">
        <v>5536</v>
      </c>
      <c r="K30" s="3" t="s">
        <v>5553</v>
      </c>
      <c r="L30" s="8" t="str">
        <f>HYPERLINK("http://slimages.macys.com/is/image/MCY/15199806 ")</f>
        <v xml:space="preserve">http://slimages.macys.com/is/image/MCY/15199806 </v>
      </c>
    </row>
    <row r="31" spans="1:12" x14ac:dyDescent="0.25">
      <c r="A31" s="6" t="s">
        <v>727</v>
      </c>
      <c r="B31" s="3" t="s">
        <v>3473</v>
      </c>
      <c r="C31" s="4">
        <v>1</v>
      </c>
      <c r="D31" s="5">
        <v>53.5</v>
      </c>
      <c r="E31" s="4">
        <v>45113224</v>
      </c>
      <c r="F31" s="3" t="s">
        <v>5604</v>
      </c>
      <c r="G31" s="7" t="s">
        <v>5567</v>
      </c>
      <c r="H31" s="3" t="s">
        <v>5606</v>
      </c>
      <c r="I31" s="3" t="s">
        <v>5607</v>
      </c>
      <c r="J31" s="3" t="s">
        <v>5536</v>
      </c>
      <c r="K31" s="3" t="s">
        <v>5558</v>
      </c>
      <c r="L31" s="8" t="str">
        <f>HYPERLINK("http://slimages.macys.com/is/image/MCY/10133687 ")</f>
        <v xml:space="preserve">http://slimages.macys.com/is/image/MCY/10133687 </v>
      </c>
    </row>
    <row r="32" spans="1:12" ht="24.75" x14ac:dyDescent="0.25">
      <c r="A32" s="6" t="s">
        <v>728</v>
      </c>
      <c r="B32" s="3" t="s">
        <v>729</v>
      </c>
      <c r="C32" s="4">
        <v>1</v>
      </c>
      <c r="D32" s="5">
        <v>75</v>
      </c>
      <c r="E32" s="4" t="s">
        <v>730</v>
      </c>
      <c r="F32" s="3" t="s">
        <v>6146</v>
      </c>
      <c r="G32" s="7" t="s">
        <v>5596</v>
      </c>
      <c r="H32" s="3" t="s">
        <v>7152</v>
      </c>
      <c r="I32" s="3" t="s">
        <v>4039</v>
      </c>
      <c r="J32" s="3" t="s">
        <v>5536</v>
      </c>
      <c r="K32" s="3" t="s">
        <v>5800</v>
      </c>
      <c r="L32" s="8" t="str">
        <f>HYPERLINK("http://slimages.macys.com/is/image/MCY/15724256 ")</f>
        <v xml:space="preserve">http://slimages.macys.com/is/image/MCY/15724256 </v>
      </c>
    </row>
    <row r="33" spans="1:12" x14ac:dyDescent="0.25">
      <c r="A33" s="6" t="s">
        <v>5338</v>
      </c>
      <c r="B33" s="3" t="s">
        <v>5653</v>
      </c>
      <c r="C33" s="4">
        <v>2</v>
      </c>
      <c r="D33" s="5">
        <v>107</v>
      </c>
      <c r="E33" s="4">
        <v>295070702</v>
      </c>
      <c r="F33" s="3" t="s">
        <v>5578</v>
      </c>
      <c r="G33" s="7"/>
      <c r="H33" s="3" t="s">
        <v>5606</v>
      </c>
      <c r="I33" s="3" t="s">
        <v>5607</v>
      </c>
      <c r="J33" s="3" t="s">
        <v>5536</v>
      </c>
      <c r="K33" s="3" t="s">
        <v>5558</v>
      </c>
      <c r="L33" s="8" t="str">
        <f>HYPERLINK("http://slimages.macys.com/is/image/MCY/10568493 ")</f>
        <v xml:space="preserve">http://slimages.macys.com/is/image/MCY/10568493 </v>
      </c>
    </row>
    <row r="34" spans="1:12" x14ac:dyDescent="0.25">
      <c r="A34" s="6" t="s">
        <v>5654</v>
      </c>
      <c r="B34" s="3" t="s">
        <v>5653</v>
      </c>
      <c r="C34" s="4">
        <v>1</v>
      </c>
      <c r="D34" s="5">
        <v>53.5</v>
      </c>
      <c r="E34" s="4">
        <v>295070702</v>
      </c>
      <c r="F34" s="3" t="s">
        <v>5578</v>
      </c>
      <c r="G34" s="7" t="s">
        <v>5557</v>
      </c>
      <c r="H34" s="3" t="s">
        <v>5606</v>
      </c>
      <c r="I34" s="3" t="s">
        <v>5607</v>
      </c>
      <c r="J34" s="3" t="s">
        <v>5536</v>
      </c>
      <c r="K34" s="3" t="s">
        <v>5558</v>
      </c>
      <c r="L34" s="8" t="str">
        <f>HYPERLINK("http://slimages.macys.com/is/image/MCY/10568493 ")</f>
        <v xml:space="preserve">http://slimages.macys.com/is/image/MCY/10568493 </v>
      </c>
    </row>
    <row r="35" spans="1:12" x14ac:dyDescent="0.25">
      <c r="A35" s="6" t="s">
        <v>731</v>
      </c>
      <c r="B35" s="3" t="s">
        <v>2772</v>
      </c>
      <c r="C35" s="4">
        <v>1</v>
      </c>
      <c r="D35" s="5">
        <v>53.5</v>
      </c>
      <c r="E35" s="4">
        <v>5140459</v>
      </c>
      <c r="F35" s="3" t="s">
        <v>5783</v>
      </c>
      <c r="G35" s="7" t="s">
        <v>5692</v>
      </c>
      <c r="H35" s="3" t="s">
        <v>5606</v>
      </c>
      <c r="I35" s="3" t="s">
        <v>5607</v>
      </c>
      <c r="J35" s="3" t="s">
        <v>5536</v>
      </c>
      <c r="K35" s="3" t="s">
        <v>5558</v>
      </c>
      <c r="L35" s="8" t="str">
        <f>HYPERLINK("http://slimages.macys.com/is/image/MCY/15103917 ")</f>
        <v xml:space="preserve">http://slimages.macys.com/is/image/MCY/15103917 </v>
      </c>
    </row>
    <row r="36" spans="1:12" ht="24.75" x14ac:dyDescent="0.25">
      <c r="A36" s="6" t="s">
        <v>732</v>
      </c>
      <c r="B36" s="3" t="s">
        <v>5647</v>
      </c>
      <c r="C36" s="4">
        <v>1</v>
      </c>
      <c r="D36" s="5">
        <v>53.5</v>
      </c>
      <c r="E36" s="4">
        <v>45113016</v>
      </c>
      <c r="F36" s="3" t="s">
        <v>5540</v>
      </c>
      <c r="G36" s="7" t="s">
        <v>733</v>
      </c>
      <c r="H36" s="3" t="s">
        <v>5606</v>
      </c>
      <c r="I36" s="3" t="s">
        <v>5607</v>
      </c>
      <c r="J36" s="3" t="s">
        <v>5536</v>
      </c>
      <c r="K36" s="3" t="s">
        <v>5641</v>
      </c>
      <c r="L36" s="8" t="str">
        <f>HYPERLINK("http://slimages.macys.com/is/image/MCY/14606494 ")</f>
        <v xml:space="preserve">http://slimages.macys.com/is/image/MCY/14606494 </v>
      </c>
    </row>
    <row r="37" spans="1:12" x14ac:dyDescent="0.25">
      <c r="A37" s="6" t="s">
        <v>734</v>
      </c>
      <c r="B37" s="3" t="s">
        <v>5628</v>
      </c>
      <c r="C37" s="4">
        <v>1</v>
      </c>
      <c r="D37" s="5">
        <v>53.5</v>
      </c>
      <c r="E37" s="4">
        <v>295070438</v>
      </c>
      <c r="F37" s="3" t="s">
        <v>5540</v>
      </c>
      <c r="G37" s="7" t="s">
        <v>5605</v>
      </c>
      <c r="H37" s="3" t="s">
        <v>5606</v>
      </c>
      <c r="I37" s="3" t="s">
        <v>5607</v>
      </c>
      <c r="J37" s="3" t="s">
        <v>5536</v>
      </c>
      <c r="K37" s="3" t="s">
        <v>5558</v>
      </c>
      <c r="L37" s="8" t="str">
        <f>HYPERLINK("http://slimages.macys.com/is/image/MCY/15555583 ")</f>
        <v xml:space="preserve">http://slimages.macys.com/is/image/MCY/15555583 </v>
      </c>
    </row>
    <row r="38" spans="1:12" ht="24.75" x14ac:dyDescent="0.25">
      <c r="A38" s="6" t="s">
        <v>735</v>
      </c>
      <c r="B38" s="3" t="s">
        <v>736</v>
      </c>
      <c r="C38" s="4">
        <v>1</v>
      </c>
      <c r="D38" s="5">
        <v>53.5</v>
      </c>
      <c r="E38" s="4">
        <v>131510088</v>
      </c>
      <c r="F38" s="3" t="s">
        <v>5578</v>
      </c>
      <c r="G38" s="7" t="s">
        <v>5626</v>
      </c>
      <c r="H38" s="3" t="s">
        <v>5606</v>
      </c>
      <c r="I38" s="3" t="s">
        <v>5607</v>
      </c>
      <c r="J38" s="3" t="s">
        <v>5536</v>
      </c>
      <c r="K38" s="3" t="s">
        <v>5558</v>
      </c>
      <c r="L38" s="8" t="str">
        <f>HYPERLINK("http://slimages.macys.com/is/image/MCY/2977507 ")</f>
        <v xml:space="preserve">http://slimages.macys.com/is/image/MCY/2977507 </v>
      </c>
    </row>
    <row r="39" spans="1:12" ht="24.75" x14ac:dyDescent="0.25">
      <c r="A39" s="6" t="s">
        <v>3480</v>
      </c>
      <c r="B39" s="3" t="s">
        <v>5647</v>
      </c>
      <c r="C39" s="4">
        <v>1</v>
      </c>
      <c r="D39" s="5">
        <v>53.5</v>
      </c>
      <c r="E39" s="4">
        <v>45113016</v>
      </c>
      <c r="F39" s="3" t="s">
        <v>5540</v>
      </c>
      <c r="G39" s="7" t="s">
        <v>5629</v>
      </c>
      <c r="H39" s="3" t="s">
        <v>5606</v>
      </c>
      <c r="I39" s="3" t="s">
        <v>5607</v>
      </c>
      <c r="J39" s="3" t="s">
        <v>5536</v>
      </c>
      <c r="K39" s="3" t="s">
        <v>5641</v>
      </c>
      <c r="L39" s="8" t="str">
        <f>HYPERLINK("http://slimages.macys.com/is/image/MCY/14606494 ")</f>
        <v xml:space="preserve">http://slimages.macys.com/is/image/MCY/14606494 </v>
      </c>
    </row>
    <row r="40" spans="1:12" ht="24.75" x14ac:dyDescent="0.25">
      <c r="A40" s="6" t="s">
        <v>5667</v>
      </c>
      <c r="B40" s="3" t="s">
        <v>5633</v>
      </c>
      <c r="C40" s="4">
        <v>1</v>
      </c>
      <c r="D40" s="5">
        <v>53.5</v>
      </c>
      <c r="E40" s="4">
        <v>131510085</v>
      </c>
      <c r="F40" s="3" t="s">
        <v>5634</v>
      </c>
      <c r="G40" s="7" t="s">
        <v>5650</v>
      </c>
      <c r="H40" s="3" t="s">
        <v>5606</v>
      </c>
      <c r="I40" s="3" t="s">
        <v>5607</v>
      </c>
      <c r="J40" s="3" t="s">
        <v>5536</v>
      </c>
      <c r="K40" s="3" t="s">
        <v>5558</v>
      </c>
      <c r="L40" s="8" t="str">
        <f>HYPERLINK("http://slimages.macys.com/is/image/MCY/2977507 ")</f>
        <v xml:space="preserve">http://slimages.macys.com/is/image/MCY/2977507 </v>
      </c>
    </row>
    <row r="41" spans="1:12" x14ac:dyDescent="0.25">
      <c r="A41" s="6" t="s">
        <v>737</v>
      </c>
      <c r="B41" s="3" t="s">
        <v>5702</v>
      </c>
      <c r="C41" s="4">
        <v>1</v>
      </c>
      <c r="D41" s="5">
        <v>53.5</v>
      </c>
      <c r="E41" s="4">
        <v>295070467</v>
      </c>
      <c r="F41" s="3" t="s">
        <v>5552</v>
      </c>
      <c r="G41" s="7" t="s">
        <v>5672</v>
      </c>
      <c r="H41" s="3" t="s">
        <v>5606</v>
      </c>
      <c r="I41" s="3" t="s">
        <v>5607</v>
      </c>
      <c r="J41" s="3" t="s">
        <v>5536</v>
      </c>
      <c r="K41" s="3" t="s">
        <v>5558</v>
      </c>
      <c r="L41" s="8" t="str">
        <f>HYPERLINK("http://slimages.macys.com/is/image/MCY/15552503 ")</f>
        <v xml:space="preserve">http://slimages.macys.com/is/image/MCY/15552503 </v>
      </c>
    </row>
    <row r="42" spans="1:12" ht="24.75" x14ac:dyDescent="0.25">
      <c r="A42" s="6" t="s">
        <v>738</v>
      </c>
      <c r="B42" s="3" t="s">
        <v>739</v>
      </c>
      <c r="C42" s="4">
        <v>1</v>
      </c>
      <c r="D42" s="5">
        <v>53.5</v>
      </c>
      <c r="E42" s="4">
        <v>45113019</v>
      </c>
      <c r="F42" s="3" t="s">
        <v>5640</v>
      </c>
      <c r="G42" s="7" t="s">
        <v>5672</v>
      </c>
      <c r="H42" s="3" t="s">
        <v>5606</v>
      </c>
      <c r="I42" s="3" t="s">
        <v>5607</v>
      </c>
      <c r="J42" s="3" t="s">
        <v>5536</v>
      </c>
      <c r="K42" s="3" t="s">
        <v>5641</v>
      </c>
      <c r="L42" s="8" t="str">
        <f>HYPERLINK("http://slimages.macys.com/is/image/MCY/14606494 ")</f>
        <v xml:space="preserve">http://slimages.macys.com/is/image/MCY/14606494 </v>
      </c>
    </row>
    <row r="43" spans="1:12" ht="24.75" x14ac:dyDescent="0.25">
      <c r="A43" s="6" t="s">
        <v>740</v>
      </c>
      <c r="B43" s="3" t="s">
        <v>7120</v>
      </c>
      <c r="C43" s="4">
        <v>1</v>
      </c>
      <c r="D43" s="5">
        <v>69.5</v>
      </c>
      <c r="E43" s="4" t="s">
        <v>7121</v>
      </c>
      <c r="F43" s="3" t="s">
        <v>4043</v>
      </c>
      <c r="G43" s="7" t="s">
        <v>5631</v>
      </c>
      <c r="H43" s="3" t="s">
        <v>5715</v>
      </c>
      <c r="I43" s="3" t="s">
        <v>5716</v>
      </c>
      <c r="J43" s="3" t="s">
        <v>5536</v>
      </c>
      <c r="K43" s="3" t="s">
        <v>5558</v>
      </c>
      <c r="L43" s="8" t="str">
        <f>HYPERLINK("http://slimages.macys.com/is/image/MCY/9704939 ")</f>
        <v xml:space="preserve">http://slimages.macys.com/is/image/MCY/9704939 </v>
      </c>
    </row>
    <row r="44" spans="1:12" ht="24.75" x14ac:dyDescent="0.25">
      <c r="A44" s="6" t="s">
        <v>741</v>
      </c>
      <c r="B44" s="3" t="s">
        <v>742</v>
      </c>
      <c r="C44" s="4">
        <v>1</v>
      </c>
      <c r="D44" s="5">
        <v>49.99</v>
      </c>
      <c r="E44" s="4">
        <v>45111764</v>
      </c>
      <c r="F44" s="3" t="s">
        <v>5540</v>
      </c>
      <c r="G44" s="7" t="s">
        <v>5626</v>
      </c>
      <c r="H44" s="3" t="s">
        <v>5606</v>
      </c>
      <c r="I44" s="3" t="s">
        <v>5607</v>
      </c>
      <c r="J44" s="3" t="s">
        <v>5536</v>
      </c>
      <c r="K44" s="3" t="s">
        <v>5641</v>
      </c>
      <c r="L44" s="8" t="str">
        <f>HYPERLINK("http://slimages.macys.com/is/image/MCY/9831075 ")</f>
        <v xml:space="preserve">http://slimages.macys.com/is/image/MCY/9831075 </v>
      </c>
    </row>
    <row r="45" spans="1:12" ht="48.75" x14ac:dyDescent="0.25">
      <c r="A45" s="6" t="s">
        <v>743</v>
      </c>
      <c r="B45" s="3" t="s">
        <v>744</v>
      </c>
      <c r="C45" s="4">
        <v>1</v>
      </c>
      <c r="D45" s="5">
        <v>75</v>
      </c>
      <c r="E45" s="4">
        <v>100081883</v>
      </c>
      <c r="F45" s="3" t="s">
        <v>5540</v>
      </c>
      <c r="G45" s="7" t="s">
        <v>5560</v>
      </c>
      <c r="H45" s="3" t="s">
        <v>5585</v>
      </c>
      <c r="I45" s="3" t="s">
        <v>5734</v>
      </c>
      <c r="J45" s="3" t="s">
        <v>5536</v>
      </c>
      <c r="K45" s="3" t="s">
        <v>2860</v>
      </c>
      <c r="L45" s="8" t="str">
        <f>HYPERLINK("http://slimages.macys.com/is/image/MCY/15927265 ")</f>
        <v xml:space="preserve">http://slimages.macys.com/is/image/MCY/15927265 </v>
      </c>
    </row>
    <row r="46" spans="1:12" ht="24.75" x14ac:dyDescent="0.25">
      <c r="A46" s="6" t="s">
        <v>745</v>
      </c>
      <c r="B46" s="3" t="s">
        <v>5729</v>
      </c>
      <c r="C46" s="4">
        <v>1</v>
      </c>
      <c r="D46" s="5">
        <v>60</v>
      </c>
      <c r="E46" s="4">
        <v>1345611</v>
      </c>
      <c r="F46" s="3" t="s">
        <v>5625</v>
      </c>
      <c r="G46" s="7" t="s">
        <v>5560</v>
      </c>
      <c r="H46" s="3" t="s">
        <v>5726</v>
      </c>
      <c r="I46" s="3" t="s">
        <v>5726</v>
      </c>
      <c r="J46" s="3" t="s">
        <v>5536</v>
      </c>
      <c r="K46" s="3" t="s">
        <v>5727</v>
      </c>
      <c r="L46" s="8" t="str">
        <f>HYPERLINK("http://slimages.macys.com/is/image/MCY/14466020 ")</f>
        <v xml:space="preserve">http://slimages.macys.com/is/image/MCY/14466020 </v>
      </c>
    </row>
    <row r="47" spans="1:12" ht="24.75" x14ac:dyDescent="0.25">
      <c r="A47" s="6" t="s">
        <v>746</v>
      </c>
      <c r="B47" s="3" t="s">
        <v>5725</v>
      </c>
      <c r="C47" s="4">
        <v>1</v>
      </c>
      <c r="D47" s="5">
        <v>60</v>
      </c>
      <c r="E47" s="4">
        <v>1345612</v>
      </c>
      <c r="F47" s="3" t="s">
        <v>5532</v>
      </c>
      <c r="G47" s="7" t="s">
        <v>5598</v>
      </c>
      <c r="H47" s="3" t="s">
        <v>5726</v>
      </c>
      <c r="I47" s="3" t="s">
        <v>5726</v>
      </c>
      <c r="J47" s="3" t="s">
        <v>5536</v>
      </c>
      <c r="K47" s="3" t="s">
        <v>5727</v>
      </c>
      <c r="L47" s="8" t="str">
        <f>HYPERLINK("http://slimages.macys.com/is/image/MCY/14465936 ")</f>
        <v xml:space="preserve">http://slimages.macys.com/is/image/MCY/14465936 </v>
      </c>
    </row>
    <row r="48" spans="1:12" ht="24.75" x14ac:dyDescent="0.25">
      <c r="A48" s="6" t="s">
        <v>747</v>
      </c>
      <c r="B48" s="3" t="s">
        <v>5729</v>
      </c>
      <c r="C48" s="4">
        <v>1</v>
      </c>
      <c r="D48" s="5">
        <v>60</v>
      </c>
      <c r="E48" s="4">
        <v>1345611</v>
      </c>
      <c r="F48" s="3" t="s">
        <v>5625</v>
      </c>
      <c r="G48" s="7" t="s">
        <v>5533</v>
      </c>
      <c r="H48" s="3" t="s">
        <v>5726</v>
      </c>
      <c r="I48" s="3" t="s">
        <v>5726</v>
      </c>
      <c r="J48" s="3" t="s">
        <v>5536</v>
      </c>
      <c r="K48" s="3" t="s">
        <v>5727</v>
      </c>
      <c r="L48" s="8" t="str">
        <f>HYPERLINK("http://slimages.macys.com/is/image/MCY/14466020 ")</f>
        <v xml:space="preserve">http://slimages.macys.com/is/image/MCY/14466020 </v>
      </c>
    </row>
    <row r="49" spans="1:12" x14ac:dyDescent="0.25">
      <c r="A49" s="6" t="s">
        <v>7133</v>
      </c>
      <c r="B49" s="3" t="s">
        <v>7134</v>
      </c>
      <c r="C49" s="4">
        <v>1</v>
      </c>
      <c r="D49" s="5">
        <v>129.5</v>
      </c>
      <c r="E49" s="4">
        <v>100082433</v>
      </c>
      <c r="F49" s="3" t="s">
        <v>5540</v>
      </c>
      <c r="G49" s="7" t="s">
        <v>5533</v>
      </c>
      <c r="H49" s="3" t="s">
        <v>5585</v>
      </c>
      <c r="I49" s="3" t="s">
        <v>5734</v>
      </c>
      <c r="J49" s="3" t="s">
        <v>5536</v>
      </c>
      <c r="K49" s="3" t="s">
        <v>5727</v>
      </c>
      <c r="L49" s="8" t="str">
        <f>HYPERLINK("http://slimages.macys.com/is/image/MCY/16358591 ")</f>
        <v xml:space="preserve">http://slimages.macys.com/is/image/MCY/16358591 </v>
      </c>
    </row>
    <row r="50" spans="1:12" ht="36.75" x14ac:dyDescent="0.25">
      <c r="A50" s="6" t="s">
        <v>748</v>
      </c>
      <c r="B50" s="3" t="s">
        <v>749</v>
      </c>
      <c r="C50" s="4">
        <v>1</v>
      </c>
      <c r="D50" s="5">
        <v>89.99</v>
      </c>
      <c r="E50" s="4">
        <v>100078987</v>
      </c>
      <c r="F50" s="3" t="s">
        <v>5556</v>
      </c>
      <c r="G50" s="7" t="s">
        <v>5598</v>
      </c>
      <c r="H50" s="3" t="s">
        <v>6065</v>
      </c>
      <c r="I50" s="3" t="s">
        <v>6066</v>
      </c>
      <c r="J50" s="3" t="s">
        <v>5536</v>
      </c>
      <c r="K50" s="3" t="s">
        <v>750</v>
      </c>
      <c r="L50" s="8" t="str">
        <f>HYPERLINK("http://slimages.macys.com/is/image/MCY/14463733 ")</f>
        <v xml:space="preserve">http://slimages.macys.com/is/image/MCY/14463733 </v>
      </c>
    </row>
    <row r="51" spans="1:12" ht="24.75" x14ac:dyDescent="0.25">
      <c r="A51" s="6" t="s">
        <v>751</v>
      </c>
      <c r="B51" s="3" t="s">
        <v>752</v>
      </c>
      <c r="C51" s="4">
        <v>1</v>
      </c>
      <c r="D51" s="5">
        <v>59.99</v>
      </c>
      <c r="E51" s="4">
        <v>757600007</v>
      </c>
      <c r="F51" s="3" t="s">
        <v>5625</v>
      </c>
      <c r="G51" s="7" t="s">
        <v>5562</v>
      </c>
      <c r="H51" s="3" t="s">
        <v>5807</v>
      </c>
      <c r="I51" s="3" t="s">
        <v>5808</v>
      </c>
      <c r="J51" s="3" t="s">
        <v>5536</v>
      </c>
      <c r="K51" s="3" t="s">
        <v>753</v>
      </c>
      <c r="L51" s="8" t="str">
        <f>HYPERLINK("http://slimages.macys.com/is/image/MCY/14697234 ")</f>
        <v xml:space="preserve">http://slimages.macys.com/is/image/MCY/14697234 </v>
      </c>
    </row>
    <row r="52" spans="1:12" ht="24.75" x14ac:dyDescent="0.25">
      <c r="A52" s="6" t="s">
        <v>754</v>
      </c>
      <c r="B52" s="3" t="s">
        <v>752</v>
      </c>
      <c r="C52" s="4">
        <v>1</v>
      </c>
      <c r="D52" s="5">
        <v>59.99</v>
      </c>
      <c r="E52" s="4">
        <v>757600006</v>
      </c>
      <c r="F52" s="3" t="s">
        <v>5820</v>
      </c>
      <c r="G52" s="7" t="s">
        <v>5560</v>
      </c>
      <c r="H52" s="3" t="s">
        <v>5807</v>
      </c>
      <c r="I52" s="3" t="s">
        <v>5808</v>
      </c>
      <c r="J52" s="3" t="s">
        <v>5536</v>
      </c>
      <c r="K52" s="3" t="s">
        <v>753</v>
      </c>
      <c r="L52" s="8" t="str">
        <f>HYPERLINK("http://slimages.macys.com/is/image/MCY/14697234 ")</f>
        <v xml:space="preserve">http://slimages.macys.com/is/image/MCY/14697234 </v>
      </c>
    </row>
    <row r="53" spans="1:12" ht="108.75" x14ac:dyDescent="0.25">
      <c r="A53" s="6" t="s">
        <v>755</v>
      </c>
      <c r="B53" s="3" t="s">
        <v>756</v>
      </c>
      <c r="C53" s="4">
        <v>1</v>
      </c>
      <c r="D53" s="5">
        <v>99.5</v>
      </c>
      <c r="E53" s="4" t="s">
        <v>5738</v>
      </c>
      <c r="F53" s="3" t="s">
        <v>5745</v>
      </c>
      <c r="G53" s="7" t="s">
        <v>5533</v>
      </c>
      <c r="H53" s="3" t="s">
        <v>5585</v>
      </c>
      <c r="I53" s="3" t="s">
        <v>5734</v>
      </c>
      <c r="J53" s="3" t="s">
        <v>5536</v>
      </c>
      <c r="K53" s="3" t="s">
        <v>5739</v>
      </c>
      <c r="L53" s="8" t="str">
        <f>HYPERLINK("http://slimages.macys.com/is/image/MCY/15648992 ")</f>
        <v xml:space="preserve">http://slimages.macys.com/is/image/MCY/15648992 </v>
      </c>
    </row>
    <row r="54" spans="1:12" ht="24.75" x14ac:dyDescent="0.25">
      <c r="A54" s="6" t="s">
        <v>757</v>
      </c>
      <c r="B54" s="3" t="s">
        <v>758</v>
      </c>
      <c r="C54" s="4">
        <v>1</v>
      </c>
      <c r="D54" s="5">
        <v>60</v>
      </c>
      <c r="E54" s="4" t="s">
        <v>759</v>
      </c>
      <c r="F54" s="3" t="s">
        <v>5532</v>
      </c>
      <c r="G54" s="7" t="s">
        <v>5596</v>
      </c>
      <c r="H54" s="3" t="s">
        <v>7152</v>
      </c>
      <c r="I54" s="3" t="s">
        <v>4039</v>
      </c>
      <c r="J54" s="3" t="s">
        <v>5536</v>
      </c>
      <c r="K54" s="3" t="s">
        <v>5574</v>
      </c>
      <c r="L54" s="8" t="str">
        <f>HYPERLINK("http://slimages.macys.com/is/image/MCY/15418076 ")</f>
        <v xml:space="preserve">http://slimages.macys.com/is/image/MCY/15418076 </v>
      </c>
    </row>
    <row r="55" spans="1:12" ht="36.75" x14ac:dyDescent="0.25">
      <c r="A55" s="6" t="s">
        <v>760</v>
      </c>
      <c r="B55" s="3" t="s">
        <v>761</v>
      </c>
      <c r="C55" s="4">
        <v>1</v>
      </c>
      <c r="D55" s="5">
        <v>85</v>
      </c>
      <c r="E55" s="4" t="s">
        <v>762</v>
      </c>
      <c r="F55" s="3" t="s">
        <v>7189</v>
      </c>
      <c r="G55" s="7"/>
      <c r="H55" s="3" t="s">
        <v>5585</v>
      </c>
      <c r="I55" s="3" t="s">
        <v>2737</v>
      </c>
      <c r="J55" s="3" t="s">
        <v>5536</v>
      </c>
      <c r="K55" s="3" t="s">
        <v>763</v>
      </c>
      <c r="L55" s="8" t="str">
        <f>HYPERLINK("http://slimages.macys.com/is/image/MCY/15747587 ")</f>
        <v xml:space="preserve">http://slimages.macys.com/is/image/MCY/15747587 </v>
      </c>
    </row>
    <row r="56" spans="1:12" ht="24.75" x14ac:dyDescent="0.25">
      <c r="A56" s="6" t="s">
        <v>764</v>
      </c>
      <c r="B56" s="3" t="s">
        <v>7163</v>
      </c>
      <c r="C56" s="4">
        <v>1</v>
      </c>
      <c r="D56" s="5">
        <v>79.5</v>
      </c>
      <c r="E56" s="4" t="s">
        <v>7164</v>
      </c>
      <c r="F56" s="3" t="s">
        <v>5793</v>
      </c>
      <c r="G56" s="7" t="s">
        <v>5598</v>
      </c>
      <c r="H56" s="3" t="s">
        <v>5617</v>
      </c>
      <c r="I56" s="3" t="s">
        <v>5618</v>
      </c>
      <c r="J56" s="3" t="s">
        <v>5536</v>
      </c>
      <c r="K56" s="3" t="s">
        <v>7165</v>
      </c>
      <c r="L56" s="8" t="str">
        <f>HYPERLINK("http://slimages.macys.com/is/image/MCY/15829927 ")</f>
        <v xml:space="preserve">http://slimages.macys.com/is/image/MCY/15829927 </v>
      </c>
    </row>
    <row r="57" spans="1:12" ht="24.75" x14ac:dyDescent="0.25">
      <c r="A57" s="6" t="s">
        <v>765</v>
      </c>
      <c r="B57" s="3" t="s">
        <v>3558</v>
      </c>
      <c r="C57" s="4">
        <v>1</v>
      </c>
      <c r="D57" s="5">
        <v>53.5</v>
      </c>
      <c r="E57" s="4">
        <v>295070389</v>
      </c>
      <c r="F57" s="3" t="s">
        <v>5604</v>
      </c>
      <c r="G57" s="7" t="s">
        <v>5861</v>
      </c>
      <c r="H57" s="3" t="s">
        <v>5606</v>
      </c>
      <c r="I57" s="3" t="s">
        <v>5607</v>
      </c>
      <c r="J57" s="3" t="s">
        <v>5536</v>
      </c>
      <c r="K57" s="3" t="s">
        <v>5641</v>
      </c>
      <c r="L57" s="8" t="str">
        <f>HYPERLINK("http://slimages.macys.com/is/image/MCY/11642453 ")</f>
        <v xml:space="preserve">http://slimages.macys.com/is/image/MCY/11642453 </v>
      </c>
    </row>
    <row r="58" spans="1:12" ht="24.75" x14ac:dyDescent="0.25">
      <c r="A58" s="6" t="s">
        <v>766</v>
      </c>
      <c r="B58" s="3" t="s">
        <v>5771</v>
      </c>
      <c r="C58" s="4">
        <v>1</v>
      </c>
      <c r="D58" s="5">
        <v>64.989999999999995</v>
      </c>
      <c r="E58" s="4" t="s">
        <v>5772</v>
      </c>
      <c r="F58" s="3" t="s">
        <v>5532</v>
      </c>
      <c r="G58" s="7"/>
      <c r="H58" s="3" t="s">
        <v>5722</v>
      </c>
      <c r="I58" s="3" t="s">
        <v>5773</v>
      </c>
      <c r="J58" s="3" t="s">
        <v>5536</v>
      </c>
      <c r="K58" s="3" t="s">
        <v>5774</v>
      </c>
      <c r="L58" s="8" t="str">
        <f>HYPERLINK("http://slimages.macys.com/is/image/MCY/14660852 ")</f>
        <v xml:space="preserve">http://slimages.macys.com/is/image/MCY/14660852 </v>
      </c>
    </row>
    <row r="59" spans="1:12" ht="24.75" x14ac:dyDescent="0.25">
      <c r="A59" s="6" t="s">
        <v>767</v>
      </c>
      <c r="B59" s="3" t="s">
        <v>768</v>
      </c>
      <c r="C59" s="4">
        <v>1</v>
      </c>
      <c r="D59" s="5">
        <v>55</v>
      </c>
      <c r="E59" s="4" t="s">
        <v>769</v>
      </c>
      <c r="F59" s="3" t="s">
        <v>5625</v>
      </c>
      <c r="G59" s="7" t="s">
        <v>5560</v>
      </c>
      <c r="H59" s="3" t="s">
        <v>4819</v>
      </c>
      <c r="I59" s="3" t="s">
        <v>4820</v>
      </c>
      <c r="J59" s="3" t="s">
        <v>5536</v>
      </c>
      <c r="K59" s="3" t="s">
        <v>5727</v>
      </c>
      <c r="L59" s="8" t="str">
        <f>HYPERLINK("http://slimages.macys.com/is/image/MCY/13337121 ")</f>
        <v xml:space="preserve">http://slimages.macys.com/is/image/MCY/13337121 </v>
      </c>
    </row>
    <row r="60" spans="1:12" ht="36.75" x14ac:dyDescent="0.25">
      <c r="A60" s="6" t="s">
        <v>770</v>
      </c>
      <c r="B60" s="3" t="s">
        <v>771</v>
      </c>
      <c r="C60" s="4">
        <v>2</v>
      </c>
      <c r="D60" s="5">
        <v>179.98</v>
      </c>
      <c r="E60" s="4">
        <v>100083116</v>
      </c>
      <c r="F60" s="3" t="s">
        <v>5977</v>
      </c>
      <c r="G60" s="7" t="s">
        <v>5562</v>
      </c>
      <c r="H60" s="3" t="s">
        <v>6065</v>
      </c>
      <c r="I60" s="3" t="s">
        <v>6066</v>
      </c>
      <c r="J60" s="3" t="s">
        <v>5536</v>
      </c>
      <c r="K60" s="3" t="s">
        <v>772</v>
      </c>
      <c r="L60" s="8" t="str">
        <f>HYPERLINK("http://slimages.macys.com/is/image/MCY/15895012 ")</f>
        <v xml:space="preserve">http://slimages.macys.com/is/image/MCY/15895012 </v>
      </c>
    </row>
    <row r="61" spans="1:12" ht="36.75" x14ac:dyDescent="0.25">
      <c r="A61" s="6" t="s">
        <v>773</v>
      </c>
      <c r="B61" s="3" t="s">
        <v>771</v>
      </c>
      <c r="C61" s="4">
        <v>1</v>
      </c>
      <c r="D61" s="5">
        <v>89.99</v>
      </c>
      <c r="E61" s="4">
        <v>100083116</v>
      </c>
      <c r="F61" s="3" t="s">
        <v>5977</v>
      </c>
      <c r="G61" s="7" t="s">
        <v>5560</v>
      </c>
      <c r="H61" s="3" t="s">
        <v>6065</v>
      </c>
      <c r="I61" s="3" t="s">
        <v>6066</v>
      </c>
      <c r="J61" s="3" t="s">
        <v>5536</v>
      </c>
      <c r="K61" s="3" t="s">
        <v>772</v>
      </c>
      <c r="L61" s="8" t="str">
        <f>HYPERLINK("http://slimages.macys.com/is/image/MCY/15895012 ")</f>
        <v xml:space="preserve">http://slimages.macys.com/is/image/MCY/15895012 </v>
      </c>
    </row>
    <row r="62" spans="1:12" ht="24.75" x14ac:dyDescent="0.25">
      <c r="A62" s="6" t="s">
        <v>774</v>
      </c>
      <c r="B62" s="3" t="s">
        <v>5412</v>
      </c>
      <c r="C62" s="4">
        <v>1</v>
      </c>
      <c r="D62" s="5">
        <v>59.5</v>
      </c>
      <c r="E62" s="4" t="s">
        <v>3588</v>
      </c>
      <c r="F62" s="3" t="s">
        <v>5540</v>
      </c>
      <c r="G62" s="7" t="s">
        <v>5562</v>
      </c>
      <c r="H62" s="3" t="s">
        <v>6794</v>
      </c>
      <c r="I62" s="3" t="s">
        <v>5795</v>
      </c>
      <c r="J62" s="3" t="s">
        <v>5536</v>
      </c>
      <c r="K62" s="3" t="s">
        <v>5641</v>
      </c>
      <c r="L62" s="8" t="str">
        <f>HYPERLINK("http://slimages.macys.com/is/image/MCY/11718919 ")</f>
        <v xml:space="preserve">http://slimages.macys.com/is/image/MCY/11718919 </v>
      </c>
    </row>
    <row r="63" spans="1:12" ht="24.75" x14ac:dyDescent="0.25">
      <c r="A63" s="6" t="s">
        <v>775</v>
      </c>
      <c r="B63" s="3" t="s">
        <v>776</v>
      </c>
      <c r="C63" s="4">
        <v>1</v>
      </c>
      <c r="D63" s="5">
        <v>89.99</v>
      </c>
      <c r="E63" s="4" t="s">
        <v>777</v>
      </c>
      <c r="F63" s="3" t="s">
        <v>5578</v>
      </c>
      <c r="G63" s="7" t="s">
        <v>5596</v>
      </c>
      <c r="H63" s="3" t="s">
        <v>6065</v>
      </c>
      <c r="I63" s="3" t="s">
        <v>6066</v>
      </c>
      <c r="J63" s="3" t="s">
        <v>5536</v>
      </c>
      <c r="K63" s="3" t="s">
        <v>778</v>
      </c>
      <c r="L63" s="8" t="str">
        <f>HYPERLINK("http://slimages.macys.com/is/image/MCY/15159990 ")</f>
        <v xml:space="preserve">http://slimages.macys.com/is/image/MCY/15159990 </v>
      </c>
    </row>
    <row r="64" spans="1:12" ht="24.75" x14ac:dyDescent="0.25">
      <c r="A64" s="6" t="s">
        <v>779</v>
      </c>
      <c r="B64" s="3" t="s">
        <v>776</v>
      </c>
      <c r="C64" s="4">
        <v>1</v>
      </c>
      <c r="D64" s="5">
        <v>89.99</v>
      </c>
      <c r="E64" s="4" t="s">
        <v>777</v>
      </c>
      <c r="F64" s="3" t="s">
        <v>5578</v>
      </c>
      <c r="G64" s="7" t="s">
        <v>5560</v>
      </c>
      <c r="H64" s="3" t="s">
        <v>6065</v>
      </c>
      <c r="I64" s="3" t="s">
        <v>6066</v>
      </c>
      <c r="J64" s="3" t="s">
        <v>5536</v>
      </c>
      <c r="K64" s="3" t="s">
        <v>778</v>
      </c>
      <c r="L64" s="8" t="str">
        <f>HYPERLINK("http://slimages.macys.com/is/image/MCY/15159990 ")</f>
        <v xml:space="preserve">http://slimages.macys.com/is/image/MCY/15159990 </v>
      </c>
    </row>
    <row r="65" spans="1:12" ht="24.75" x14ac:dyDescent="0.25">
      <c r="A65" s="6" t="s">
        <v>780</v>
      </c>
      <c r="B65" s="3" t="s">
        <v>781</v>
      </c>
      <c r="C65" s="4">
        <v>1</v>
      </c>
      <c r="D65" s="5">
        <v>65</v>
      </c>
      <c r="E65" s="4" t="s">
        <v>782</v>
      </c>
      <c r="F65" s="3" t="s">
        <v>5578</v>
      </c>
      <c r="G65" s="7" t="s">
        <v>5562</v>
      </c>
      <c r="H65" s="3" t="s">
        <v>5547</v>
      </c>
      <c r="I65" s="3" t="s">
        <v>5548</v>
      </c>
      <c r="J65" s="3" t="s">
        <v>5536</v>
      </c>
      <c r="K65" s="3" t="s">
        <v>5594</v>
      </c>
      <c r="L65" s="8" t="str">
        <f>HYPERLINK("http://slimages.macys.com/is/image/MCY/15446693 ")</f>
        <v xml:space="preserve">http://slimages.macys.com/is/image/MCY/15446693 </v>
      </c>
    </row>
    <row r="66" spans="1:12" ht="24.75" x14ac:dyDescent="0.25">
      <c r="A66" s="6" t="s">
        <v>783</v>
      </c>
      <c r="B66" s="3" t="s">
        <v>5806</v>
      </c>
      <c r="C66" s="4">
        <v>1</v>
      </c>
      <c r="D66" s="5">
        <v>49.99</v>
      </c>
      <c r="E66" s="4">
        <v>447150819</v>
      </c>
      <c r="F66" s="3" t="s">
        <v>5540</v>
      </c>
      <c r="G66" s="7" t="s">
        <v>5579</v>
      </c>
      <c r="H66" s="3" t="s">
        <v>5807</v>
      </c>
      <c r="I66" s="3" t="s">
        <v>5808</v>
      </c>
      <c r="J66" s="3" t="s">
        <v>5536</v>
      </c>
      <c r="K66" s="3" t="s">
        <v>5641</v>
      </c>
      <c r="L66" s="8" t="str">
        <f>HYPERLINK("http://slimages.macys.com/is/image/MCY/10629705 ")</f>
        <v xml:space="preserve">http://slimages.macys.com/is/image/MCY/10629705 </v>
      </c>
    </row>
    <row r="67" spans="1:12" ht="24.75" x14ac:dyDescent="0.25">
      <c r="A67" s="6" t="s">
        <v>784</v>
      </c>
      <c r="B67" s="3" t="s">
        <v>785</v>
      </c>
      <c r="C67" s="4">
        <v>2</v>
      </c>
      <c r="D67" s="5">
        <v>118</v>
      </c>
      <c r="E67" s="4" t="s">
        <v>786</v>
      </c>
      <c r="F67" s="3" t="s">
        <v>4547</v>
      </c>
      <c r="G67" s="7" t="s">
        <v>5650</v>
      </c>
      <c r="H67" s="3" t="s">
        <v>7211</v>
      </c>
      <c r="I67" s="3" t="s">
        <v>7212</v>
      </c>
      <c r="J67" s="3" t="s">
        <v>5536</v>
      </c>
      <c r="K67" s="3" t="s">
        <v>5558</v>
      </c>
      <c r="L67" s="8" t="str">
        <f>HYPERLINK("http://slimages.macys.com/is/image/MCY/14332112 ")</f>
        <v xml:space="preserve">http://slimages.macys.com/is/image/MCY/14332112 </v>
      </c>
    </row>
    <row r="68" spans="1:12" ht="24.75" x14ac:dyDescent="0.25">
      <c r="A68" s="6" t="s">
        <v>787</v>
      </c>
      <c r="B68" s="3" t="s">
        <v>785</v>
      </c>
      <c r="C68" s="4">
        <v>1</v>
      </c>
      <c r="D68" s="5">
        <v>59</v>
      </c>
      <c r="E68" s="4" t="s">
        <v>786</v>
      </c>
      <c r="F68" s="3" t="s">
        <v>5604</v>
      </c>
      <c r="G68" s="7" t="s">
        <v>5567</v>
      </c>
      <c r="H68" s="3" t="s">
        <v>7211</v>
      </c>
      <c r="I68" s="3" t="s">
        <v>7212</v>
      </c>
      <c r="J68" s="3" t="s">
        <v>5536</v>
      </c>
      <c r="K68" s="3" t="s">
        <v>5558</v>
      </c>
      <c r="L68" s="8" t="str">
        <f>HYPERLINK("http://slimages.macys.com/is/image/MCY/14332112 ")</f>
        <v xml:space="preserve">http://slimages.macys.com/is/image/MCY/14332112 </v>
      </c>
    </row>
    <row r="69" spans="1:12" ht="24.75" x14ac:dyDescent="0.25">
      <c r="A69" s="6" t="s">
        <v>788</v>
      </c>
      <c r="B69" s="3" t="s">
        <v>789</v>
      </c>
      <c r="C69" s="4">
        <v>1</v>
      </c>
      <c r="D69" s="5">
        <v>70</v>
      </c>
      <c r="E69" s="4" t="s">
        <v>790</v>
      </c>
      <c r="F69" s="3" t="s">
        <v>5625</v>
      </c>
      <c r="G69" s="7" t="s">
        <v>4675</v>
      </c>
      <c r="H69" s="3" t="s">
        <v>7152</v>
      </c>
      <c r="I69" s="3" t="s">
        <v>791</v>
      </c>
      <c r="J69" s="3" t="s">
        <v>5536</v>
      </c>
      <c r="K69" s="3" t="s">
        <v>5727</v>
      </c>
      <c r="L69" s="8" t="str">
        <f>HYPERLINK("http://slimages.macys.com/is/image/MCY/15418736 ")</f>
        <v xml:space="preserve">http://slimages.macys.com/is/image/MCY/15418736 </v>
      </c>
    </row>
    <row r="70" spans="1:12" ht="24.75" x14ac:dyDescent="0.25">
      <c r="A70" s="6" t="s">
        <v>792</v>
      </c>
      <c r="B70" s="3" t="s">
        <v>3824</v>
      </c>
      <c r="C70" s="4">
        <v>1</v>
      </c>
      <c r="D70" s="5">
        <v>54.5</v>
      </c>
      <c r="E70" s="4" t="s">
        <v>3825</v>
      </c>
      <c r="F70" s="3" t="s">
        <v>5887</v>
      </c>
      <c r="G70" s="7" t="s">
        <v>3886</v>
      </c>
      <c r="H70" s="3" t="s">
        <v>7211</v>
      </c>
      <c r="I70" s="3" t="s">
        <v>7212</v>
      </c>
      <c r="J70" s="3" t="s">
        <v>5536</v>
      </c>
      <c r="K70" s="3" t="s">
        <v>5558</v>
      </c>
      <c r="L70" s="8" t="str">
        <f>HYPERLINK("http://slimages.macys.com/is/image/MCY/16517055 ")</f>
        <v xml:space="preserve">http://slimages.macys.com/is/image/MCY/16517055 </v>
      </c>
    </row>
    <row r="71" spans="1:12" ht="24.75" x14ac:dyDescent="0.25">
      <c r="A71" s="6" t="s">
        <v>3823</v>
      </c>
      <c r="B71" s="3" t="s">
        <v>3824</v>
      </c>
      <c r="C71" s="4">
        <v>2</v>
      </c>
      <c r="D71" s="5">
        <v>109</v>
      </c>
      <c r="E71" s="4" t="s">
        <v>3825</v>
      </c>
      <c r="F71" s="3" t="s">
        <v>5887</v>
      </c>
      <c r="G71" s="7" t="s">
        <v>5573</v>
      </c>
      <c r="H71" s="3" t="s">
        <v>7211</v>
      </c>
      <c r="I71" s="3" t="s">
        <v>7212</v>
      </c>
      <c r="J71" s="3" t="s">
        <v>5536</v>
      </c>
      <c r="K71" s="3" t="s">
        <v>5558</v>
      </c>
      <c r="L71" s="8" t="str">
        <f>HYPERLINK("http://slimages.macys.com/is/image/MCY/16517055 ")</f>
        <v xml:space="preserve">http://slimages.macys.com/is/image/MCY/16517055 </v>
      </c>
    </row>
    <row r="72" spans="1:12" ht="24.75" x14ac:dyDescent="0.25">
      <c r="A72" s="6" t="s">
        <v>793</v>
      </c>
      <c r="B72" s="3" t="s">
        <v>794</v>
      </c>
      <c r="C72" s="4">
        <v>1</v>
      </c>
      <c r="D72" s="5">
        <v>64.989999999999995</v>
      </c>
      <c r="E72" s="4" t="s">
        <v>795</v>
      </c>
      <c r="F72" s="3" t="s">
        <v>5783</v>
      </c>
      <c r="G72" s="7"/>
      <c r="H72" s="3" t="s">
        <v>5722</v>
      </c>
      <c r="I72" s="3" t="s">
        <v>5773</v>
      </c>
      <c r="J72" s="3" t="s">
        <v>5536</v>
      </c>
      <c r="K72" s="3" t="s">
        <v>5558</v>
      </c>
      <c r="L72" s="8" t="str">
        <f>HYPERLINK("http://slimages.macys.com/is/image/MCY/15145752 ")</f>
        <v xml:space="preserve">http://slimages.macys.com/is/image/MCY/15145752 </v>
      </c>
    </row>
    <row r="73" spans="1:12" ht="48.75" x14ac:dyDescent="0.25">
      <c r="A73" s="6" t="s">
        <v>796</v>
      </c>
      <c r="B73" s="3" t="s">
        <v>2859</v>
      </c>
      <c r="C73" s="4">
        <v>1</v>
      </c>
      <c r="D73" s="5">
        <v>60</v>
      </c>
      <c r="E73" s="4">
        <v>100081880</v>
      </c>
      <c r="F73" s="3" t="s">
        <v>5540</v>
      </c>
      <c r="G73" s="7" t="s">
        <v>5598</v>
      </c>
      <c r="H73" s="3" t="s">
        <v>5585</v>
      </c>
      <c r="I73" s="3" t="s">
        <v>5734</v>
      </c>
      <c r="J73" s="3" t="s">
        <v>5536</v>
      </c>
      <c r="K73" s="3" t="s">
        <v>2860</v>
      </c>
      <c r="L73" s="8" t="str">
        <f>HYPERLINK("http://slimages.macys.com/is/image/MCY/15927279 ")</f>
        <v xml:space="preserve">http://slimages.macys.com/is/image/MCY/15927279 </v>
      </c>
    </row>
    <row r="74" spans="1:12" ht="48.75" x14ac:dyDescent="0.25">
      <c r="A74" s="6" t="s">
        <v>797</v>
      </c>
      <c r="B74" s="3" t="s">
        <v>2859</v>
      </c>
      <c r="C74" s="4">
        <v>1</v>
      </c>
      <c r="D74" s="5">
        <v>60</v>
      </c>
      <c r="E74" s="4">
        <v>100081880</v>
      </c>
      <c r="F74" s="3" t="s">
        <v>5540</v>
      </c>
      <c r="G74" s="7" t="s">
        <v>5596</v>
      </c>
      <c r="H74" s="3" t="s">
        <v>5585</v>
      </c>
      <c r="I74" s="3" t="s">
        <v>5734</v>
      </c>
      <c r="J74" s="3" t="s">
        <v>5536</v>
      </c>
      <c r="K74" s="3" t="s">
        <v>2860</v>
      </c>
      <c r="L74" s="8" t="str">
        <f>HYPERLINK("http://slimages.macys.com/is/image/MCY/15927279 ")</f>
        <v xml:space="preserve">http://slimages.macys.com/is/image/MCY/15927279 </v>
      </c>
    </row>
    <row r="75" spans="1:12" ht="24.75" x14ac:dyDescent="0.25">
      <c r="A75" s="6" t="s">
        <v>798</v>
      </c>
      <c r="B75" s="3" t="s">
        <v>799</v>
      </c>
      <c r="C75" s="4">
        <v>1</v>
      </c>
      <c r="D75" s="5">
        <v>49.99</v>
      </c>
      <c r="E75" s="4" t="s">
        <v>800</v>
      </c>
      <c r="F75" s="3" t="s">
        <v>5793</v>
      </c>
      <c r="G75" s="7" t="s">
        <v>6491</v>
      </c>
      <c r="H75" s="3" t="s">
        <v>5617</v>
      </c>
      <c r="I75" s="3" t="s">
        <v>5618</v>
      </c>
      <c r="J75" s="3" t="s">
        <v>5536</v>
      </c>
      <c r="K75" s="3" t="s">
        <v>5558</v>
      </c>
      <c r="L75" s="8" t="str">
        <f>HYPERLINK("http://slimages.macys.com/is/image/MCY/11671228 ")</f>
        <v xml:space="preserve">http://slimages.macys.com/is/image/MCY/11671228 </v>
      </c>
    </row>
    <row r="76" spans="1:12" ht="24.75" x14ac:dyDescent="0.25">
      <c r="A76" s="6" t="s">
        <v>4731</v>
      </c>
      <c r="B76" s="3" t="s">
        <v>3830</v>
      </c>
      <c r="C76" s="4">
        <v>1</v>
      </c>
      <c r="D76" s="5">
        <v>69.5</v>
      </c>
      <c r="E76" s="4" t="s">
        <v>3831</v>
      </c>
      <c r="F76" s="3" t="s">
        <v>5540</v>
      </c>
      <c r="G76" s="7" t="s">
        <v>5560</v>
      </c>
      <c r="H76" s="3" t="s">
        <v>5617</v>
      </c>
      <c r="I76" s="3" t="s">
        <v>5618</v>
      </c>
      <c r="J76" s="3" t="s">
        <v>5536</v>
      </c>
      <c r="K76" s="3" t="s">
        <v>5594</v>
      </c>
      <c r="L76" s="8" t="str">
        <f>HYPERLINK("http://slimages.macys.com/is/image/MCY/14795797 ")</f>
        <v xml:space="preserve">http://slimages.macys.com/is/image/MCY/14795797 </v>
      </c>
    </row>
    <row r="77" spans="1:12" ht="24.75" x14ac:dyDescent="0.25">
      <c r="A77" s="6" t="s">
        <v>801</v>
      </c>
      <c r="B77" s="3" t="s">
        <v>799</v>
      </c>
      <c r="C77" s="4">
        <v>1</v>
      </c>
      <c r="D77" s="5">
        <v>49.99</v>
      </c>
      <c r="E77" s="4" t="s">
        <v>800</v>
      </c>
      <c r="F77" s="3" t="s">
        <v>5793</v>
      </c>
      <c r="G77" s="7" t="s">
        <v>5850</v>
      </c>
      <c r="H77" s="3" t="s">
        <v>5617</v>
      </c>
      <c r="I77" s="3" t="s">
        <v>5618</v>
      </c>
      <c r="J77" s="3" t="s">
        <v>5536</v>
      </c>
      <c r="K77" s="3" t="s">
        <v>5558</v>
      </c>
      <c r="L77" s="8" t="str">
        <f>HYPERLINK("http://slimages.macys.com/is/image/MCY/11671228 ")</f>
        <v xml:space="preserve">http://slimages.macys.com/is/image/MCY/11671228 </v>
      </c>
    </row>
    <row r="78" spans="1:12" ht="24.75" x14ac:dyDescent="0.25">
      <c r="A78" s="6" t="s">
        <v>802</v>
      </c>
      <c r="B78" s="3" t="s">
        <v>803</v>
      </c>
      <c r="C78" s="4">
        <v>1</v>
      </c>
      <c r="D78" s="5">
        <v>56.99</v>
      </c>
      <c r="E78" s="4" t="s">
        <v>804</v>
      </c>
      <c r="F78" s="3" t="s">
        <v>5566</v>
      </c>
      <c r="G78" s="7" t="s">
        <v>5766</v>
      </c>
      <c r="H78" s="3" t="s">
        <v>5722</v>
      </c>
      <c r="I78" s="3" t="s">
        <v>4735</v>
      </c>
      <c r="J78" s="3" t="s">
        <v>5536</v>
      </c>
      <c r="K78" s="3" t="s">
        <v>5549</v>
      </c>
      <c r="L78" s="8" t="str">
        <f>HYPERLINK("http://slimages.macys.com/is/image/MCY/10377866 ")</f>
        <v xml:space="preserve">http://slimages.macys.com/is/image/MCY/10377866 </v>
      </c>
    </row>
    <row r="79" spans="1:12" ht="24.75" x14ac:dyDescent="0.25">
      <c r="A79" s="6" t="s">
        <v>805</v>
      </c>
      <c r="B79" s="3" t="s">
        <v>4733</v>
      </c>
      <c r="C79" s="4">
        <v>1</v>
      </c>
      <c r="D79" s="5">
        <v>56.99</v>
      </c>
      <c r="E79" s="4" t="s">
        <v>4734</v>
      </c>
      <c r="F79" s="3" t="s">
        <v>4216</v>
      </c>
      <c r="G79" s="7"/>
      <c r="H79" s="3" t="s">
        <v>5722</v>
      </c>
      <c r="I79" s="3" t="s">
        <v>4735</v>
      </c>
      <c r="J79" s="3" t="s">
        <v>5536</v>
      </c>
      <c r="K79" s="3" t="s">
        <v>5549</v>
      </c>
      <c r="L79" s="8" t="str">
        <f>HYPERLINK("http://slimages.macys.com/is/image/MCY/10592826 ")</f>
        <v xml:space="preserve">http://slimages.macys.com/is/image/MCY/10592826 </v>
      </c>
    </row>
    <row r="80" spans="1:12" ht="24.75" x14ac:dyDescent="0.25">
      <c r="A80" s="6" t="s">
        <v>5471</v>
      </c>
      <c r="B80" s="3" t="s">
        <v>4733</v>
      </c>
      <c r="C80" s="4">
        <v>1</v>
      </c>
      <c r="D80" s="5">
        <v>56.99</v>
      </c>
      <c r="E80" s="4" t="s">
        <v>4734</v>
      </c>
      <c r="F80" s="3" t="s">
        <v>4216</v>
      </c>
      <c r="G80" s="7"/>
      <c r="H80" s="3" t="s">
        <v>5722</v>
      </c>
      <c r="I80" s="3" t="s">
        <v>4735</v>
      </c>
      <c r="J80" s="3" t="s">
        <v>5536</v>
      </c>
      <c r="K80" s="3" t="s">
        <v>5549</v>
      </c>
      <c r="L80" s="8" t="str">
        <f>HYPERLINK("http://slimages.macys.com/is/image/MCY/10592826 ")</f>
        <v xml:space="preserve">http://slimages.macys.com/is/image/MCY/10592826 </v>
      </c>
    </row>
    <row r="81" spans="1:12" ht="24.75" x14ac:dyDescent="0.25">
      <c r="A81" s="6" t="s">
        <v>806</v>
      </c>
      <c r="B81" s="3" t="s">
        <v>5474</v>
      </c>
      <c r="C81" s="4">
        <v>1</v>
      </c>
      <c r="D81" s="5">
        <v>56.99</v>
      </c>
      <c r="E81" s="4" t="s">
        <v>5475</v>
      </c>
      <c r="F81" s="3" t="s">
        <v>5783</v>
      </c>
      <c r="G81" s="7"/>
      <c r="H81" s="3" t="s">
        <v>5722</v>
      </c>
      <c r="I81" s="3" t="s">
        <v>4735</v>
      </c>
      <c r="J81" s="3" t="s">
        <v>5536</v>
      </c>
      <c r="K81" s="3" t="s">
        <v>5549</v>
      </c>
      <c r="L81" s="8" t="str">
        <f>HYPERLINK("http://slimages.macys.com/is/image/MCY/12672768 ")</f>
        <v xml:space="preserve">http://slimages.macys.com/is/image/MCY/12672768 </v>
      </c>
    </row>
    <row r="82" spans="1:12" x14ac:dyDescent="0.25">
      <c r="A82" s="6" t="s">
        <v>3836</v>
      </c>
      <c r="B82" s="3" t="s">
        <v>3837</v>
      </c>
      <c r="C82" s="4">
        <v>5</v>
      </c>
      <c r="D82" s="5">
        <v>375</v>
      </c>
      <c r="E82" s="4">
        <v>100081901</v>
      </c>
      <c r="F82" s="3" t="s">
        <v>5540</v>
      </c>
      <c r="G82" s="7" t="s">
        <v>5596</v>
      </c>
      <c r="H82" s="3" t="s">
        <v>5585</v>
      </c>
      <c r="I82" s="3" t="s">
        <v>5734</v>
      </c>
      <c r="J82" s="3" t="s">
        <v>5536</v>
      </c>
      <c r="K82" s="3" t="s">
        <v>5549</v>
      </c>
      <c r="L82" s="8" t="str">
        <f>HYPERLINK("http://slimages.macys.com/is/image/MCY/16135616 ")</f>
        <v xml:space="preserve">http://slimages.macys.com/is/image/MCY/16135616 </v>
      </c>
    </row>
    <row r="83" spans="1:12" x14ac:dyDescent="0.25">
      <c r="A83" s="6" t="s">
        <v>807</v>
      </c>
      <c r="B83" s="3" t="s">
        <v>3837</v>
      </c>
      <c r="C83" s="4">
        <v>2</v>
      </c>
      <c r="D83" s="5">
        <v>150</v>
      </c>
      <c r="E83" s="4">
        <v>100081901</v>
      </c>
      <c r="F83" s="3" t="s">
        <v>5540</v>
      </c>
      <c r="G83" s="7" t="s">
        <v>5562</v>
      </c>
      <c r="H83" s="3" t="s">
        <v>5585</v>
      </c>
      <c r="I83" s="3" t="s">
        <v>5734</v>
      </c>
      <c r="J83" s="3" t="s">
        <v>5536</v>
      </c>
      <c r="K83" s="3" t="s">
        <v>5549</v>
      </c>
      <c r="L83" s="8" t="str">
        <f>HYPERLINK("http://slimages.macys.com/is/image/MCY/16135616 ")</f>
        <v xml:space="preserve">http://slimages.macys.com/is/image/MCY/16135616 </v>
      </c>
    </row>
    <row r="84" spans="1:12" x14ac:dyDescent="0.25">
      <c r="A84" s="6" t="s">
        <v>808</v>
      </c>
      <c r="B84" s="3" t="s">
        <v>3837</v>
      </c>
      <c r="C84" s="4">
        <v>3</v>
      </c>
      <c r="D84" s="5">
        <v>225</v>
      </c>
      <c r="E84" s="4">
        <v>100081901</v>
      </c>
      <c r="F84" s="3" t="s">
        <v>5540</v>
      </c>
      <c r="G84" s="7" t="s">
        <v>5533</v>
      </c>
      <c r="H84" s="3" t="s">
        <v>5585</v>
      </c>
      <c r="I84" s="3" t="s">
        <v>5734</v>
      </c>
      <c r="J84" s="3" t="s">
        <v>5536</v>
      </c>
      <c r="K84" s="3" t="s">
        <v>5549</v>
      </c>
      <c r="L84" s="8" t="str">
        <f>HYPERLINK("http://slimages.macys.com/is/image/MCY/16135616 ")</f>
        <v xml:space="preserve">http://slimages.macys.com/is/image/MCY/16135616 </v>
      </c>
    </row>
    <row r="85" spans="1:12" x14ac:dyDescent="0.25">
      <c r="A85" s="6" t="s">
        <v>809</v>
      </c>
      <c r="B85" s="3" t="s">
        <v>3837</v>
      </c>
      <c r="C85" s="4">
        <v>1</v>
      </c>
      <c r="D85" s="5">
        <v>75</v>
      </c>
      <c r="E85" s="4">
        <v>100081901</v>
      </c>
      <c r="F85" s="3" t="s">
        <v>5540</v>
      </c>
      <c r="G85" s="7" t="s">
        <v>5560</v>
      </c>
      <c r="H85" s="3" t="s">
        <v>5585</v>
      </c>
      <c r="I85" s="3" t="s">
        <v>5734</v>
      </c>
      <c r="J85" s="3" t="s">
        <v>5536</v>
      </c>
      <c r="K85" s="3" t="s">
        <v>5549</v>
      </c>
      <c r="L85" s="8" t="str">
        <f>HYPERLINK("http://slimages.macys.com/is/image/MCY/16135616 ")</f>
        <v xml:space="preserve">http://slimages.macys.com/is/image/MCY/16135616 </v>
      </c>
    </row>
    <row r="86" spans="1:12" ht="24.75" x14ac:dyDescent="0.25">
      <c r="A86" s="6" t="s">
        <v>810</v>
      </c>
      <c r="B86" s="3" t="s">
        <v>811</v>
      </c>
      <c r="C86" s="4">
        <v>1</v>
      </c>
      <c r="D86" s="5">
        <v>55</v>
      </c>
      <c r="E86" s="4">
        <v>1320745</v>
      </c>
      <c r="F86" s="3" t="s">
        <v>5578</v>
      </c>
      <c r="G86" s="7" t="s">
        <v>5560</v>
      </c>
      <c r="H86" s="3" t="s">
        <v>5726</v>
      </c>
      <c r="I86" s="3" t="s">
        <v>5726</v>
      </c>
      <c r="J86" s="3" t="s">
        <v>5536</v>
      </c>
      <c r="K86" s="3" t="s">
        <v>3889</v>
      </c>
      <c r="L86" s="8" t="str">
        <f>HYPERLINK("http://slimages.macys.com/is/image/MCY/14338216 ")</f>
        <v xml:space="preserve">http://slimages.macys.com/is/image/MCY/14338216 </v>
      </c>
    </row>
    <row r="87" spans="1:12" ht="24.75" x14ac:dyDescent="0.25">
      <c r="A87" s="6" t="s">
        <v>4751</v>
      </c>
      <c r="B87" s="3" t="s">
        <v>4752</v>
      </c>
      <c r="C87" s="4">
        <v>1</v>
      </c>
      <c r="D87" s="5">
        <v>60.08</v>
      </c>
      <c r="E87" s="4" t="s">
        <v>4753</v>
      </c>
      <c r="F87" s="3" t="s">
        <v>5540</v>
      </c>
      <c r="G87" s="7" t="s">
        <v>5562</v>
      </c>
      <c r="H87" s="3" t="s">
        <v>5842</v>
      </c>
      <c r="I87" s="3" t="s">
        <v>6082</v>
      </c>
      <c r="J87" s="3" t="s">
        <v>5536</v>
      </c>
      <c r="K87" s="3" t="s">
        <v>4754</v>
      </c>
      <c r="L87" s="8" t="str">
        <f>HYPERLINK("http://slimages.macys.com/is/image/MCY/14619245 ")</f>
        <v xml:space="preserve">http://slimages.macys.com/is/image/MCY/14619245 </v>
      </c>
    </row>
    <row r="88" spans="1:12" x14ac:dyDescent="0.25">
      <c r="A88" s="6" t="s">
        <v>812</v>
      </c>
      <c r="B88" s="3" t="s">
        <v>5837</v>
      </c>
      <c r="C88" s="4">
        <v>1</v>
      </c>
      <c r="D88" s="5">
        <v>34.99</v>
      </c>
      <c r="E88" s="4">
        <v>232510006</v>
      </c>
      <c r="F88" s="3" t="s">
        <v>5540</v>
      </c>
      <c r="G88" s="7" t="s">
        <v>6170</v>
      </c>
      <c r="H88" s="3" t="s">
        <v>5606</v>
      </c>
      <c r="I88" s="3" t="s">
        <v>5607</v>
      </c>
      <c r="J88" s="3" t="s">
        <v>5536</v>
      </c>
      <c r="K88" s="3" t="s">
        <v>5594</v>
      </c>
      <c r="L88" s="8" t="str">
        <f>HYPERLINK("http://slimages.macys.com/is/image/MCY/3266708 ")</f>
        <v xml:space="preserve">http://slimages.macys.com/is/image/MCY/3266708 </v>
      </c>
    </row>
    <row r="89" spans="1:12" ht="24.75" x14ac:dyDescent="0.25">
      <c r="A89" s="6" t="s">
        <v>813</v>
      </c>
      <c r="B89" s="3" t="s">
        <v>814</v>
      </c>
      <c r="C89" s="4">
        <v>1</v>
      </c>
      <c r="D89" s="5">
        <v>44.99</v>
      </c>
      <c r="E89" s="4" t="s">
        <v>5492</v>
      </c>
      <c r="F89" s="3" t="s">
        <v>5604</v>
      </c>
      <c r="G89" s="7" t="s">
        <v>5562</v>
      </c>
      <c r="H89" s="3" t="s">
        <v>5606</v>
      </c>
      <c r="I89" s="3" t="s">
        <v>5914</v>
      </c>
      <c r="J89" s="3" t="s">
        <v>5536</v>
      </c>
      <c r="K89" s="3" t="s">
        <v>5727</v>
      </c>
      <c r="L89" s="8" t="str">
        <f>HYPERLINK("http://slimages.macys.com/is/image/MCY/15255861 ")</f>
        <v xml:space="preserve">http://slimages.macys.com/is/image/MCY/15255861 </v>
      </c>
    </row>
    <row r="90" spans="1:12" ht="24.75" x14ac:dyDescent="0.25">
      <c r="A90" s="6" t="s">
        <v>815</v>
      </c>
      <c r="B90" s="3" t="s">
        <v>816</v>
      </c>
      <c r="C90" s="4">
        <v>1</v>
      </c>
      <c r="D90" s="5">
        <v>45</v>
      </c>
      <c r="E90" s="4" t="s">
        <v>817</v>
      </c>
      <c r="F90" s="3" t="s">
        <v>5977</v>
      </c>
      <c r="G90" s="7" t="s">
        <v>5596</v>
      </c>
      <c r="H90" s="3" t="s">
        <v>4819</v>
      </c>
      <c r="I90" s="3" t="s">
        <v>4820</v>
      </c>
      <c r="J90" s="3" t="s">
        <v>5536</v>
      </c>
      <c r="K90" s="3" t="s">
        <v>5727</v>
      </c>
      <c r="L90" s="8" t="str">
        <f>HYPERLINK("http://slimages.macys.com/is/image/MCY/13783676 ")</f>
        <v xml:space="preserve">http://slimages.macys.com/is/image/MCY/13783676 </v>
      </c>
    </row>
    <row r="91" spans="1:12" ht="24.75" x14ac:dyDescent="0.25">
      <c r="A91" s="6" t="s">
        <v>818</v>
      </c>
      <c r="B91" s="3" t="s">
        <v>819</v>
      </c>
      <c r="C91" s="4">
        <v>1</v>
      </c>
      <c r="D91" s="5">
        <v>49.5</v>
      </c>
      <c r="E91" s="4" t="s">
        <v>820</v>
      </c>
      <c r="F91" s="3" t="s">
        <v>2570</v>
      </c>
      <c r="G91" s="7" t="s">
        <v>5573</v>
      </c>
      <c r="H91" s="3" t="s">
        <v>7211</v>
      </c>
      <c r="I91" s="3" t="s">
        <v>7212</v>
      </c>
      <c r="J91" s="3" t="s">
        <v>5536</v>
      </c>
      <c r="K91" s="3" t="s">
        <v>5574</v>
      </c>
      <c r="L91" s="8" t="str">
        <f>HYPERLINK("http://slimages.macys.com/is/image/MCY/14797707 ")</f>
        <v xml:space="preserve">http://slimages.macys.com/is/image/MCY/14797707 </v>
      </c>
    </row>
    <row r="92" spans="1:12" ht="24.75" x14ac:dyDescent="0.25">
      <c r="A92" s="6" t="s">
        <v>821</v>
      </c>
      <c r="B92" s="3" t="s">
        <v>5871</v>
      </c>
      <c r="C92" s="4">
        <v>2</v>
      </c>
      <c r="D92" s="5">
        <v>78</v>
      </c>
      <c r="E92" s="4" t="s">
        <v>5872</v>
      </c>
      <c r="F92" s="3" t="s">
        <v>5783</v>
      </c>
      <c r="G92" s="7" t="s">
        <v>5598</v>
      </c>
      <c r="H92" s="3" t="s">
        <v>5868</v>
      </c>
      <c r="I92" s="3" t="s">
        <v>5869</v>
      </c>
      <c r="J92" s="3" t="s">
        <v>5536</v>
      </c>
      <c r="K92" s="3" t="s">
        <v>5549</v>
      </c>
      <c r="L92" s="8" t="str">
        <f>HYPERLINK("http://slimages.macys.com/is/image/MCY/16399958 ")</f>
        <v xml:space="preserve">http://slimages.macys.com/is/image/MCY/16399958 </v>
      </c>
    </row>
    <row r="93" spans="1:12" ht="24.75" x14ac:dyDescent="0.25">
      <c r="A93" s="6" t="s">
        <v>822</v>
      </c>
      <c r="B93" s="3" t="s">
        <v>5871</v>
      </c>
      <c r="C93" s="4">
        <v>1</v>
      </c>
      <c r="D93" s="5">
        <v>39</v>
      </c>
      <c r="E93" s="4" t="s">
        <v>5872</v>
      </c>
      <c r="F93" s="3" t="s">
        <v>5783</v>
      </c>
      <c r="G93" s="7" t="s">
        <v>5533</v>
      </c>
      <c r="H93" s="3" t="s">
        <v>5868</v>
      </c>
      <c r="I93" s="3" t="s">
        <v>5869</v>
      </c>
      <c r="J93" s="3" t="s">
        <v>5536</v>
      </c>
      <c r="K93" s="3" t="s">
        <v>5549</v>
      </c>
      <c r="L93" s="8" t="str">
        <f>HYPERLINK("http://slimages.macys.com/is/image/MCY/16399958 ")</f>
        <v xml:space="preserve">http://slimages.macys.com/is/image/MCY/16399958 </v>
      </c>
    </row>
    <row r="94" spans="1:12" x14ac:dyDescent="0.25">
      <c r="A94" s="6" t="s">
        <v>823</v>
      </c>
      <c r="B94" s="3" t="s">
        <v>824</v>
      </c>
      <c r="C94" s="4">
        <v>1</v>
      </c>
      <c r="D94" s="5">
        <v>59.5</v>
      </c>
      <c r="E94" s="4">
        <v>100023079</v>
      </c>
      <c r="F94" s="3" t="s">
        <v>5540</v>
      </c>
      <c r="G94" s="7" t="s">
        <v>5533</v>
      </c>
      <c r="H94" s="3" t="s">
        <v>5585</v>
      </c>
      <c r="I94" s="3" t="s">
        <v>5734</v>
      </c>
      <c r="J94" s="3" t="s">
        <v>5536</v>
      </c>
      <c r="K94" s="3" t="s">
        <v>5594</v>
      </c>
      <c r="L94" s="8" t="str">
        <f>HYPERLINK("http://slimages.macys.com/is/image/MCY/10418668 ")</f>
        <v xml:space="preserve">http://slimages.macys.com/is/image/MCY/10418668 </v>
      </c>
    </row>
    <row r="95" spans="1:12" ht="24.75" x14ac:dyDescent="0.25">
      <c r="A95" s="6" t="s">
        <v>825</v>
      </c>
      <c r="B95" s="3" t="s">
        <v>826</v>
      </c>
      <c r="C95" s="4">
        <v>1</v>
      </c>
      <c r="D95" s="5">
        <v>50</v>
      </c>
      <c r="E95" s="4" t="s">
        <v>827</v>
      </c>
      <c r="F95" s="3" t="s">
        <v>5566</v>
      </c>
      <c r="G95" s="7" t="s">
        <v>5898</v>
      </c>
      <c r="H95" s="3" t="s">
        <v>7088</v>
      </c>
      <c r="I95" s="3" t="s">
        <v>7089</v>
      </c>
      <c r="J95" s="3" t="s">
        <v>5536</v>
      </c>
      <c r="K95" s="3" t="s">
        <v>6071</v>
      </c>
      <c r="L95" s="8" t="str">
        <f>HYPERLINK("http://slimages.macys.com/is/image/MCY/15505392 ")</f>
        <v xml:space="preserve">http://slimages.macys.com/is/image/MCY/15505392 </v>
      </c>
    </row>
    <row r="96" spans="1:12" x14ac:dyDescent="0.25">
      <c r="A96" s="6" t="s">
        <v>2922</v>
      </c>
      <c r="B96" s="3" t="s">
        <v>2851</v>
      </c>
      <c r="C96" s="4">
        <v>1</v>
      </c>
      <c r="D96" s="5">
        <v>79.5</v>
      </c>
      <c r="E96" s="4">
        <v>100075439</v>
      </c>
      <c r="F96" s="3" t="s">
        <v>5540</v>
      </c>
      <c r="G96" s="7" t="s">
        <v>5562</v>
      </c>
      <c r="H96" s="3" t="s">
        <v>5585</v>
      </c>
      <c r="I96" s="3" t="s">
        <v>5734</v>
      </c>
      <c r="J96" s="3" t="s">
        <v>5536</v>
      </c>
      <c r="K96" s="3" t="s">
        <v>5587</v>
      </c>
      <c r="L96" s="8" t="str">
        <f>HYPERLINK("http://slimages.macys.com/is/image/MCY/16135488 ")</f>
        <v xml:space="preserve">http://slimages.macys.com/is/image/MCY/16135488 </v>
      </c>
    </row>
    <row r="97" spans="1:12" ht="24.75" x14ac:dyDescent="0.25">
      <c r="A97" s="6" t="s">
        <v>828</v>
      </c>
      <c r="B97" s="3" t="s">
        <v>829</v>
      </c>
      <c r="C97" s="4">
        <v>1</v>
      </c>
      <c r="D97" s="5">
        <v>49.99</v>
      </c>
      <c r="E97" s="4" t="s">
        <v>830</v>
      </c>
      <c r="F97" s="3" t="s">
        <v>5604</v>
      </c>
      <c r="G97" s="7" t="s">
        <v>5656</v>
      </c>
      <c r="H97" s="3" t="s">
        <v>5862</v>
      </c>
      <c r="I97" s="3" t="s">
        <v>2920</v>
      </c>
      <c r="J97" s="3" t="s">
        <v>5536</v>
      </c>
      <c r="K97" s="3" t="s">
        <v>5427</v>
      </c>
      <c r="L97" s="8" t="str">
        <f>HYPERLINK("http://slimages.macys.com/is/image/MCY/10287610 ")</f>
        <v xml:space="preserve">http://slimages.macys.com/is/image/MCY/10287610 </v>
      </c>
    </row>
    <row r="98" spans="1:12" ht="60.75" x14ac:dyDescent="0.25">
      <c r="A98" s="6" t="s">
        <v>831</v>
      </c>
      <c r="B98" s="3" t="s">
        <v>832</v>
      </c>
      <c r="C98" s="4">
        <v>1</v>
      </c>
      <c r="D98" s="5">
        <v>59.99</v>
      </c>
      <c r="E98" s="4">
        <v>286770001</v>
      </c>
      <c r="F98" s="3" t="s">
        <v>5798</v>
      </c>
      <c r="G98" s="7" t="s">
        <v>833</v>
      </c>
      <c r="H98" s="3" t="s">
        <v>5807</v>
      </c>
      <c r="I98" s="3" t="s">
        <v>5808</v>
      </c>
      <c r="J98" s="3" t="s">
        <v>5536</v>
      </c>
      <c r="K98" s="3" t="s">
        <v>834</v>
      </c>
      <c r="L98" s="8" t="str">
        <f>HYPERLINK("http://slimages.macys.com/is/image/MCY/3688479 ")</f>
        <v xml:space="preserve">http://slimages.macys.com/is/image/MCY/3688479 </v>
      </c>
    </row>
    <row r="99" spans="1:12" ht="24.75" x14ac:dyDescent="0.25">
      <c r="A99" s="6" t="s">
        <v>835</v>
      </c>
      <c r="B99" s="3" t="s">
        <v>836</v>
      </c>
      <c r="C99" s="4">
        <v>1</v>
      </c>
      <c r="D99" s="5">
        <v>44.5</v>
      </c>
      <c r="E99" s="4" t="s">
        <v>837</v>
      </c>
      <c r="F99" s="3" t="s">
        <v>5566</v>
      </c>
      <c r="G99" s="7" t="s">
        <v>5596</v>
      </c>
      <c r="H99" s="3" t="s">
        <v>5794</v>
      </c>
      <c r="I99" s="3" t="s">
        <v>5795</v>
      </c>
      <c r="J99" s="3" t="s">
        <v>5536</v>
      </c>
      <c r="K99" s="3" t="s">
        <v>5800</v>
      </c>
      <c r="L99" s="8" t="str">
        <f>HYPERLINK("http://slimages.macys.com/is/image/MCY/14576762 ")</f>
        <v xml:space="preserve">http://slimages.macys.com/is/image/MCY/14576762 </v>
      </c>
    </row>
    <row r="100" spans="1:12" x14ac:dyDescent="0.25">
      <c r="A100" s="6" t="s">
        <v>838</v>
      </c>
      <c r="B100" s="3" t="s">
        <v>2931</v>
      </c>
      <c r="C100" s="4">
        <v>2</v>
      </c>
      <c r="D100" s="5">
        <v>79.98</v>
      </c>
      <c r="E100" s="4" t="s">
        <v>2932</v>
      </c>
      <c r="F100" s="3" t="s">
        <v>5566</v>
      </c>
      <c r="G100" s="7" t="s">
        <v>5562</v>
      </c>
      <c r="H100" s="3" t="s">
        <v>5606</v>
      </c>
      <c r="I100" s="3" t="s">
        <v>5914</v>
      </c>
      <c r="J100" s="3" t="s">
        <v>5536</v>
      </c>
      <c r="K100" s="3" t="s">
        <v>5549</v>
      </c>
      <c r="L100" s="8" t="str">
        <f>HYPERLINK("http://slimages.macys.com/is/image/MCY/15436303 ")</f>
        <v xml:space="preserve">http://slimages.macys.com/is/image/MCY/15436303 </v>
      </c>
    </row>
    <row r="101" spans="1:12" ht="24.75" x14ac:dyDescent="0.25">
      <c r="A101" s="6" t="s">
        <v>839</v>
      </c>
      <c r="B101" s="3" t="s">
        <v>840</v>
      </c>
      <c r="C101" s="4">
        <v>1</v>
      </c>
      <c r="D101" s="5">
        <v>34.99</v>
      </c>
      <c r="E101" s="4" t="s">
        <v>841</v>
      </c>
      <c r="F101" s="3" t="s">
        <v>5945</v>
      </c>
      <c r="G101" s="7" t="s">
        <v>5533</v>
      </c>
      <c r="H101" s="3" t="s">
        <v>5606</v>
      </c>
      <c r="I101" s="3" t="s">
        <v>5914</v>
      </c>
      <c r="J101" s="3" t="s">
        <v>5536</v>
      </c>
      <c r="K101" s="3" t="s">
        <v>5594</v>
      </c>
      <c r="L101" s="8" t="str">
        <f>HYPERLINK("http://slimages.macys.com/is/image/MCY/15602368 ")</f>
        <v xml:space="preserve">http://slimages.macys.com/is/image/MCY/15602368 </v>
      </c>
    </row>
    <row r="102" spans="1:12" ht="48.75" x14ac:dyDescent="0.25">
      <c r="A102" s="6" t="s">
        <v>842</v>
      </c>
      <c r="B102" s="3" t="s">
        <v>843</v>
      </c>
      <c r="C102" s="4">
        <v>1</v>
      </c>
      <c r="D102" s="5">
        <v>24.99</v>
      </c>
      <c r="E102" s="4" t="s">
        <v>844</v>
      </c>
      <c r="F102" s="3" t="s">
        <v>5820</v>
      </c>
      <c r="G102" s="7" t="s">
        <v>5598</v>
      </c>
      <c r="H102" s="3" t="s">
        <v>3841</v>
      </c>
      <c r="I102" s="3" t="s">
        <v>3842</v>
      </c>
      <c r="J102" s="3" t="s">
        <v>5536</v>
      </c>
      <c r="K102" s="3" t="s">
        <v>845</v>
      </c>
      <c r="L102" s="8" t="str">
        <f>HYPERLINK("http://slimages.macys.com/is/image/MCY/9268170 ")</f>
        <v xml:space="preserve">http://slimages.macys.com/is/image/MCY/9268170 </v>
      </c>
    </row>
    <row r="103" spans="1:12" x14ac:dyDescent="0.25">
      <c r="A103" s="6" t="s">
        <v>846</v>
      </c>
      <c r="B103" s="3" t="s">
        <v>847</v>
      </c>
      <c r="C103" s="4">
        <v>1</v>
      </c>
      <c r="D103" s="5">
        <v>75</v>
      </c>
      <c r="E103" s="4">
        <v>100081899</v>
      </c>
      <c r="F103" s="3" t="s">
        <v>5783</v>
      </c>
      <c r="G103" s="7" t="s">
        <v>5596</v>
      </c>
      <c r="H103" s="3" t="s">
        <v>5585</v>
      </c>
      <c r="I103" s="3" t="s">
        <v>5734</v>
      </c>
      <c r="J103" s="3" t="s">
        <v>5536</v>
      </c>
      <c r="K103" s="3" t="s">
        <v>5574</v>
      </c>
      <c r="L103" s="8" t="str">
        <f>HYPERLINK("http://slimages.macys.com/is/image/MCY/15861710 ")</f>
        <v xml:space="preserve">http://slimages.macys.com/is/image/MCY/15861710 </v>
      </c>
    </row>
    <row r="104" spans="1:12" x14ac:dyDescent="0.25">
      <c r="A104" s="6" t="s">
        <v>848</v>
      </c>
      <c r="B104" s="3" t="s">
        <v>847</v>
      </c>
      <c r="C104" s="4">
        <v>1</v>
      </c>
      <c r="D104" s="5">
        <v>75</v>
      </c>
      <c r="E104" s="4">
        <v>100081899</v>
      </c>
      <c r="F104" s="3" t="s">
        <v>5783</v>
      </c>
      <c r="G104" s="7" t="s">
        <v>5598</v>
      </c>
      <c r="H104" s="3" t="s">
        <v>5585</v>
      </c>
      <c r="I104" s="3" t="s">
        <v>5734</v>
      </c>
      <c r="J104" s="3" t="s">
        <v>5536</v>
      </c>
      <c r="K104" s="3" t="s">
        <v>5574</v>
      </c>
      <c r="L104" s="8" t="str">
        <f>HYPERLINK("http://slimages.macys.com/is/image/MCY/15861710 ")</f>
        <v xml:space="preserve">http://slimages.macys.com/is/image/MCY/15861710 </v>
      </c>
    </row>
    <row r="105" spans="1:12" ht="24.75" x14ac:dyDescent="0.25">
      <c r="A105" s="6" t="s">
        <v>849</v>
      </c>
      <c r="B105" s="3" t="s">
        <v>2943</v>
      </c>
      <c r="C105" s="4">
        <v>1</v>
      </c>
      <c r="D105" s="5">
        <v>45</v>
      </c>
      <c r="E105" s="4" t="s">
        <v>2944</v>
      </c>
      <c r="F105" s="3" t="s">
        <v>5803</v>
      </c>
      <c r="G105" s="7" t="s">
        <v>5626</v>
      </c>
      <c r="H105" s="3" t="s">
        <v>5862</v>
      </c>
      <c r="I105" s="3" t="s">
        <v>5863</v>
      </c>
      <c r="J105" s="3" t="s">
        <v>5536</v>
      </c>
      <c r="K105" s="3" t="s">
        <v>5935</v>
      </c>
      <c r="L105" s="8" t="str">
        <f>HYPERLINK("http://slimages.macys.com/is/image/MCY/14572464 ")</f>
        <v xml:space="preserve">http://slimages.macys.com/is/image/MCY/14572464 </v>
      </c>
    </row>
    <row r="106" spans="1:12" ht="24.75" x14ac:dyDescent="0.25">
      <c r="A106" s="6" t="s">
        <v>850</v>
      </c>
      <c r="B106" s="3" t="s">
        <v>2943</v>
      </c>
      <c r="C106" s="4">
        <v>1</v>
      </c>
      <c r="D106" s="5">
        <v>45</v>
      </c>
      <c r="E106" s="4" t="s">
        <v>2944</v>
      </c>
      <c r="F106" s="3" t="s">
        <v>5803</v>
      </c>
      <c r="G106" s="7" t="s">
        <v>5311</v>
      </c>
      <c r="H106" s="3" t="s">
        <v>5862</v>
      </c>
      <c r="I106" s="3" t="s">
        <v>5863</v>
      </c>
      <c r="J106" s="3" t="s">
        <v>5536</v>
      </c>
      <c r="K106" s="3" t="s">
        <v>5935</v>
      </c>
      <c r="L106" s="8" t="str">
        <f>HYPERLINK("http://slimages.macys.com/is/image/MCY/14572464 ")</f>
        <v xml:space="preserve">http://slimages.macys.com/is/image/MCY/14572464 </v>
      </c>
    </row>
    <row r="107" spans="1:12" x14ac:dyDescent="0.25">
      <c r="A107" s="6" t="s">
        <v>851</v>
      </c>
      <c r="B107" s="3" t="s">
        <v>852</v>
      </c>
      <c r="C107" s="4">
        <v>1</v>
      </c>
      <c r="D107" s="5">
        <v>34.99</v>
      </c>
      <c r="E107" s="4" t="s">
        <v>853</v>
      </c>
      <c r="F107" s="3" t="s">
        <v>5820</v>
      </c>
      <c r="G107" s="7" t="s">
        <v>5560</v>
      </c>
      <c r="H107" s="3" t="s">
        <v>5606</v>
      </c>
      <c r="I107" s="3" t="s">
        <v>5914</v>
      </c>
      <c r="J107" s="3" t="s">
        <v>5536</v>
      </c>
      <c r="K107" s="3" t="s">
        <v>5594</v>
      </c>
      <c r="L107" s="8" t="str">
        <f>HYPERLINK("http://slimages.macys.com/is/image/MCY/15436829 ")</f>
        <v xml:space="preserve">http://slimages.macys.com/is/image/MCY/15436829 </v>
      </c>
    </row>
    <row r="108" spans="1:12" ht="24.75" x14ac:dyDescent="0.25">
      <c r="A108" s="6" t="s">
        <v>854</v>
      </c>
      <c r="B108" s="3" t="s">
        <v>3872</v>
      </c>
      <c r="C108" s="4">
        <v>1</v>
      </c>
      <c r="D108" s="5">
        <v>34.99</v>
      </c>
      <c r="E108" s="4" t="s">
        <v>3873</v>
      </c>
      <c r="F108" s="3" t="s">
        <v>6275</v>
      </c>
      <c r="G108" s="7" t="s">
        <v>5533</v>
      </c>
      <c r="H108" s="3" t="s">
        <v>5606</v>
      </c>
      <c r="I108" s="3" t="s">
        <v>5914</v>
      </c>
      <c r="J108" s="3" t="s">
        <v>5536</v>
      </c>
      <c r="K108" s="3" t="s">
        <v>5574</v>
      </c>
      <c r="L108" s="8" t="str">
        <f>HYPERLINK("http://slimages.macys.com/is/image/MCY/14433683 ")</f>
        <v xml:space="preserve">http://slimages.macys.com/is/image/MCY/14433683 </v>
      </c>
    </row>
    <row r="109" spans="1:12" x14ac:dyDescent="0.25">
      <c r="A109" s="6" t="s">
        <v>855</v>
      </c>
      <c r="B109" s="3" t="s">
        <v>856</v>
      </c>
      <c r="C109" s="4">
        <v>1</v>
      </c>
      <c r="D109" s="5">
        <v>34.99</v>
      </c>
      <c r="E109" s="4" t="s">
        <v>5941</v>
      </c>
      <c r="F109" s="3"/>
      <c r="G109" s="7" t="s">
        <v>5562</v>
      </c>
      <c r="H109" s="3" t="s">
        <v>5606</v>
      </c>
      <c r="I109" s="3" t="s">
        <v>5914</v>
      </c>
      <c r="J109" s="3" t="s">
        <v>5536</v>
      </c>
      <c r="K109" s="3" t="s">
        <v>5553</v>
      </c>
      <c r="L109" s="8" t="str">
        <f>HYPERLINK("http://slimages.macys.com/is/image/MCY/11640947 ")</f>
        <v xml:space="preserve">http://slimages.macys.com/is/image/MCY/11640947 </v>
      </c>
    </row>
    <row r="110" spans="1:12" x14ac:dyDescent="0.25">
      <c r="A110" s="6" t="s">
        <v>4774</v>
      </c>
      <c r="B110" s="3" t="s">
        <v>5951</v>
      </c>
      <c r="C110" s="4">
        <v>1</v>
      </c>
      <c r="D110" s="5">
        <v>34.99</v>
      </c>
      <c r="E110" s="4" t="s">
        <v>5952</v>
      </c>
      <c r="F110" s="3" t="s">
        <v>5820</v>
      </c>
      <c r="G110" s="7" t="s">
        <v>5562</v>
      </c>
      <c r="H110" s="3" t="s">
        <v>5606</v>
      </c>
      <c r="I110" s="3" t="s">
        <v>5914</v>
      </c>
      <c r="J110" s="3" t="s">
        <v>5536</v>
      </c>
      <c r="K110" s="3" t="s">
        <v>5594</v>
      </c>
      <c r="L110" s="8" t="str">
        <f>HYPERLINK("http://slimages.macys.com/is/image/MCY/15119060 ")</f>
        <v xml:space="preserve">http://slimages.macys.com/is/image/MCY/15119060 </v>
      </c>
    </row>
    <row r="111" spans="1:12" x14ac:dyDescent="0.25">
      <c r="A111" s="6" t="s">
        <v>857</v>
      </c>
      <c r="B111" s="3" t="s">
        <v>858</v>
      </c>
      <c r="C111" s="4">
        <v>1</v>
      </c>
      <c r="D111" s="5">
        <v>34.99</v>
      </c>
      <c r="E111" s="4">
        <v>100030372</v>
      </c>
      <c r="F111" s="3" t="s">
        <v>5578</v>
      </c>
      <c r="G111" s="7" t="s">
        <v>5682</v>
      </c>
      <c r="H111" s="3" t="s">
        <v>6065</v>
      </c>
      <c r="I111" s="3" t="s">
        <v>859</v>
      </c>
      <c r="J111" s="3"/>
      <c r="K111" s="3"/>
      <c r="L111" s="8" t="str">
        <f>HYPERLINK("http://slimages.macys.com/is/image/MCY/10024611 ")</f>
        <v xml:space="preserve">http://slimages.macys.com/is/image/MCY/10024611 </v>
      </c>
    </row>
    <row r="112" spans="1:12" ht="24.75" x14ac:dyDescent="0.25">
      <c r="A112" s="6" t="s">
        <v>860</v>
      </c>
      <c r="B112" s="3" t="s">
        <v>861</v>
      </c>
      <c r="C112" s="4">
        <v>2</v>
      </c>
      <c r="D112" s="5">
        <v>58</v>
      </c>
      <c r="E112" s="4" t="s">
        <v>862</v>
      </c>
      <c r="F112" s="3" t="s">
        <v>5783</v>
      </c>
      <c r="G112" s="7" t="s">
        <v>5562</v>
      </c>
      <c r="H112" s="3" t="s">
        <v>7157</v>
      </c>
      <c r="I112" s="3" t="s">
        <v>7158</v>
      </c>
      <c r="J112" s="3" t="s">
        <v>5536</v>
      </c>
      <c r="K112" s="3" t="s">
        <v>5549</v>
      </c>
      <c r="L112" s="8" t="str">
        <f>HYPERLINK("http://slimages.macys.com/is/image/MCY/16075740 ")</f>
        <v xml:space="preserve">http://slimages.macys.com/is/image/MCY/16075740 </v>
      </c>
    </row>
    <row r="113" spans="1:12" ht="24.75" x14ac:dyDescent="0.25">
      <c r="A113" s="6" t="s">
        <v>863</v>
      </c>
      <c r="B113" s="3" t="s">
        <v>864</v>
      </c>
      <c r="C113" s="4">
        <v>1</v>
      </c>
      <c r="D113" s="5">
        <v>44.99</v>
      </c>
      <c r="E113" s="4" t="s">
        <v>865</v>
      </c>
      <c r="F113" s="3" t="s">
        <v>5820</v>
      </c>
      <c r="G113" s="7" t="s">
        <v>5662</v>
      </c>
      <c r="H113" s="3" t="s">
        <v>5862</v>
      </c>
      <c r="I113" s="3" t="s">
        <v>6204</v>
      </c>
      <c r="J113" s="3" t="s">
        <v>5536</v>
      </c>
      <c r="K113" s="3" t="s">
        <v>5727</v>
      </c>
      <c r="L113" s="8" t="str">
        <f>HYPERLINK("http://slimages.macys.com/is/image/MCY/311507 ")</f>
        <v xml:space="preserve">http://slimages.macys.com/is/image/MCY/311507 </v>
      </c>
    </row>
    <row r="114" spans="1:12" ht="24.75" x14ac:dyDescent="0.25">
      <c r="A114" s="6" t="s">
        <v>866</v>
      </c>
      <c r="B114" s="3" t="s">
        <v>867</v>
      </c>
      <c r="C114" s="4">
        <v>1</v>
      </c>
      <c r="D114" s="5">
        <v>59.5</v>
      </c>
      <c r="E114" s="4">
        <v>100082436</v>
      </c>
      <c r="F114" s="3" t="s">
        <v>5540</v>
      </c>
      <c r="G114" s="7" t="s">
        <v>5733</v>
      </c>
      <c r="H114" s="3" t="s">
        <v>5585</v>
      </c>
      <c r="I114" s="3" t="s">
        <v>5586</v>
      </c>
      <c r="J114" s="3" t="s">
        <v>5536</v>
      </c>
      <c r="K114" s="3" t="s">
        <v>5864</v>
      </c>
      <c r="L114" s="8" t="str">
        <f>HYPERLINK("http://slimages.macys.com/is/image/MCY/15949259 ")</f>
        <v xml:space="preserve">http://slimages.macys.com/is/image/MCY/15949259 </v>
      </c>
    </row>
    <row r="115" spans="1:12" ht="24.75" x14ac:dyDescent="0.25">
      <c r="A115" s="6" t="s">
        <v>868</v>
      </c>
      <c r="B115" s="3" t="s">
        <v>867</v>
      </c>
      <c r="C115" s="4">
        <v>2</v>
      </c>
      <c r="D115" s="5">
        <v>119</v>
      </c>
      <c r="E115" s="4">
        <v>100082436</v>
      </c>
      <c r="F115" s="3" t="s">
        <v>5540</v>
      </c>
      <c r="G115" s="7" t="s">
        <v>5562</v>
      </c>
      <c r="H115" s="3" t="s">
        <v>5585</v>
      </c>
      <c r="I115" s="3" t="s">
        <v>5586</v>
      </c>
      <c r="J115" s="3" t="s">
        <v>5536</v>
      </c>
      <c r="K115" s="3" t="s">
        <v>5864</v>
      </c>
      <c r="L115" s="8" t="str">
        <f>HYPERLINK("http://slimages.macys.com/is/image/MCY/15949259 ")</f>
        <v xml:space="preserve">http://slimages.macys.com/is/image/MCY/15949259 </v>
      </c>
    </row>
    <row r="116" spans="1:12" ht="24.75" x14ac:dyDescent="0.25">
      <c r="A116" s="6" t="s">
        <v>869</v>
      </c>
      <c r="B116" s="3" t="s">
        <v>867</v>
      </c>
      <c r="C116" s="4">
        <v>1</v>
      </c>
      <c r="D116" s="5">
        <v>59.5</v>
      </c>
      <c r="E116" s="4">
        <v>100082436</v>
      </c>
      <c r="F116" s="3" t="s">
        <v>5540</v>
      </c>
      <c r="G116" s="7" t="s">
        <v>5560</v>
      </c>
      <c r="H116" s="3" t="s">
        <v>5585</v>
      </c>
      <c r="I116" s="3" t="s">
        <v>5586</v>
      </c>
      <c r="J116" s="3" t="s">
        <v>5536</v>
      </c>
      <c r="K116" s="3" t="s">
        <v>5864</v>
      </c>
      <c r="L116" s="8" t="str">
        <f>HYPERLINK("http://slimages.macys.com/is/image/MCY/15949259 ")</f>
        <v xml:space="preserve">http://slimages.macys.com/is/image/MCY/15949259 </v>
      </c>
    </row>
    <row r="117" spans="1:12" ht="24.75" x14ac:dyDescent="0.25">
      <c r="A117" s="6" t="s">
        <v>870</v>
      </c>
      <c r="B117" s="3" t="s">
        <v>867</v>
      </c>
      <c r="C117" s="4">
        <v>2</v>
      </c>
      <c r="D117" s="5">
        <v>119</v>
      </c>
      <c r="E117" s="4">
        <v>100082436</v>
      </c>
      <c r="F117" s="3" t="s">
        <v>5540</v>
      </c>
      <c r="G117" s="7" t="s">
        <v>5596</v>
      </c>
      <c r="H117" s="3" t="s">
        <v>5585</v>
      </c>
      <c r="I117" s="3" t="s">
        <v>5586</v>
      </c>
      <c r="J117" s="3" t="s">
        <v>5536</v>
      </c>
      <c r="K117" s="3" t="s">
        <v>5864</v>
      </c>
      <c r="L117" s="8" t="str">
        <f>HYPERLINK("http://slimages.macys.com/is/image/MCY/15949259 ")</f>
        <v xml:space="preserve">http://slimages.macys.com/is/image/MCY/15949259 </v>
      </c>
    </row>
    <row r="118" spans="1:12" x14ac:dyDescent="0.25">
      <c r="A118" s="6" t="s">
        <v>871</v>
      </c>
      <c r="B118" s="3" t="s">
        <v>872</v>
      </c>
      <c r="C118" s="4">
        <v>2</v>
      </c>
      <c r="D118" s="5">
        <v>159</v>
      </c>
      <c r="E118" s="4">
        <v>100081900</v>
      </c>
      <c r="F118" s="3" t="s">
        <v>6075</v>
      </c>
      <c r="G118" s="7" t="s">
        <v>5562</v>
      </c>
      <c r="H118" s="3" t="s">
        <v>5585</v>
      </c>
      <c r="I118" s="3" t="s">
        <v>5734</v>
      </c>
      <c r="J118" s="3" t="s">
        <v>5536</v>
      </c>
      <c r="K118" s="3" t="s">
        <v>5574</v>
      </c>
      <c r="L118" s="8" t="str">
        <f>HYPERLINK("http://slimages.macys.com/is/image/MCY/15667282 ")</f>
        <v xml:space="preserve">http://slimages.macys.com/is/image/MCY/15667282 </v>
      </c>
    </row>
    <row r="119" spans="1:12" x14ac:dyDescent="0.25">
      <c r="A119" s="6" t="s">
        <v>873</v>
      </c>
      <c r="B119" s="3" t="s">
        <v>872</v>
      </c>
      <c r="C119" s="4">
        <v>1</v>
      </c>
      <c r="D119" s="5">
        <v>79.5</v>
      </c>
      <c r="E119" s="4">
        <v>100081900</v>
      </c>
      <c r="F119" s="3" t="s">
        <v>6075</v>
      </c>
      <c r="G119" s="7" t="s">
        <v>5582</v>
      </c>
      <c r="H119" s="3" t="s">
        <v>5585</v>
      </c>
      <c r="I119" s="3" t="s">
        <v>5734</v>
      </c>
      <c r="J119" s="3" t="s">
        <v>5536</v>
      </c>
      <c r="K119" s="3" t="s">
        <v>5574</v>
      </c>
      <c r="L119" s="8" t="str">
        <f>HYPERLINK("http://slimages.macys.com/is/image/MCY/15667282 ")</f>
        <v xml:space="preserve">http://slimages.macys.com/is/image/MCY/15667282 </v>
      </c>
    </row>
    <row r="120" spans="1:12" x14ac:dyDescent="0.25">
      <c r="A120" s="6" t="s">
        <v>874</v>
      </c>
      <c r="B120" s="3" t="s">
        <v>872</v>
      </c>
      <c r="C120" s="4">
        <v>1</v>
      </c>
      <c r="D120" s="5">
        <v>79.5</v>
      </c>
      <c r="E120" s="4">
        <v>100081900</v>
      </c>
      <c r="F120" s="3" t="s">
        <v>6075</v>
      </c>
      <c r="G120" s="7" t="s">
        <v>5533</v>
      </c>
      <c r="H120" s="3" t="s">
        <v>5585</v>
      </c>
      <c r="I120" s="3" t="s">
        <v>5734</v>
      </c>
      <c r="J120" s="3" t="s">
        <v>5536</v>
      </c>
      <c r="K120" s="3" t="s">
        <v>5574</v>
      </c>
      <c r="L120" s="8" t="str">
        <f>HYPERLINK("http://slimages.macys.com/is/image/MCY/15667282 ")</f>
        <v xml:space="preserve">http://slimages.macys.com/is/image/MCY/15667282 </v>
      </c>
    </row>
    <row r="121" spans="1:12" x14ac:dyDescent="0.25">
      <c r="A121" s="6" t="s">
        <v>875</v>
      </c>
      <c r="B121" s="3" t="s">
        <v>872</v>
      </c>
      <c r="C121" s="4">
        <v>1</v>
      </c>
      <c r="D121" s="5">
        <v>79.5</v>
      </c>
      <c r="E121" s="4">
        <v>100081900</v>
      </c>
      <c r="F121" s="3" t="s">
        <v>6075</v>
      </c>
      <c r="G121" s="7" t="s">
        <v>5560</v>
      </c>
      <c r="H121" s="3" t="s">
        <v>5585</v>
      </c>
      <c r="I121" s="3" t="s">
        <v>5734</v>
      </c>
      <c r="J121" s="3" t="s">
        <v>5536</v>
      </c>
      <c r="K121" s="3" t="s">
        <v>5574</v>
      </c>
      <c r="L121" s="8" t="str">
        <f>HYPERLINK("http://slimages.macys.com/is/image/MCY/15667282 ")</f>
        <v xml:space="preserve">http://slimages.macys.com/is/image/MCY/15667282 </v>
      </c>
    </row>
    <row r="122" spans="1:12" x14ac:dyDescent="0.25">
      <c r="A122" s="6" t="s">
        <v>876</v>
      </c>
      <c r="B122" s="3" t="s">
        <v>872</v>
      </c>
      <c r="C122" s="4">
        <v>1</v>
      </c>
      <c r="D122" s="5">
        <v>79.5</v>
      </c>
      <c r="E122" s="4">
        <v>100081900</v>
      </c>
      <c r="F122" s="3" t="s">
        <v>6075</v>
      </c>
      <c r="G122" s="7" t="s">
        <v>5598</v>
      </c>
      <c r="H122" s="3" t="s">
        <v>5585</v>
      </c>
      <c r="I122" s="3" t="s">
        <v>5734</v>
      </c>
      <c r="J122" s="3" t="s">
        <v>5536</v>
      </c>
      <c r="K122" s="3" t="s">
        <v>5574</v>
      </c>
      <c r="L122" s="8" t="str">
        <f>HYPERLINK("http://slimages.macys.com/is/image/MCY/15667282 ")</f>
        <v xml:space="preserve">http://slimages.macys.com/is/image/MCY/15667282 </v>
      </c>
    </row>
    <row r="123" spans="1:12" x14ac:dyDescent="0.25">
      <c r="A123" s="6" t="s">
        <v>877</v>
      </c>
      <c r="B123" s="3" t="s">
        <v>878</v>
      </c>
      <c r="C123" s="4">
        <v>1</v>
      </c>
      <c r="D123" s="5">
        <v>55</v>
      </c>
      <c r="E123" s="4">
        <v>100075460</v>
      </c>
      <c r="F123" s="3" t="s">
        <v>5783</v>
      </c>
      <c r="G123" s="7" t="s">
        <v>5560</v>
      </c>
      <c r="H123" s="3" t="s">
        <v>5585</v>
      </c>
      <c r="I123" s="3" t="s">
        <v>5734</v>
      </c>
      <c r="J123" s="3" t="s">
        <v>5536</v>
      </c>
      <c r="K123" s="3" t="s">
        <v>5727</v>
      </c>
      <c r="L123" s="8" t="str">
        <f>HYPERLINK("http://slimages.macys.com/is/image/MCY/15804380 ")</f>
        <v xml:space="preserve">http://slimages.macys.com/is/image/MCY/15804380 </v>
      </c>
    </row>
    <row r="124" spans="1:12" ht="24.75" x14ac:dyDescent="0.25">
      <c r="A124" s="6" t="s">
        <v>879</v>
      </c>
      <c r="B124" s="3" t="s">
        <v>880</v>
      </c>
      <c r="C124" s="4">
        <v>1</v>
      </c>
      <c r="D124" s="5">
        <v>47.78</v>
      </c>
      <c r="E124" s="4" t="s">
        <v>881</v>
      </c>
      <c r="F124" s="3" t="s">
        <v>6075</v>
      </c>
      <c r="G124" s="7" t="s">
        <v>5562</v>
      </c>
      <c r="H124" s="3" t="s">
        <v>6794</v>
      </c>
      <c r="I124" s="3" t="s">
        <v>882</v>
      </c>
      <c r="J124" s="3" t="s">
        <v>5536</v>
      </c>
      <c r="K124" s="3" t="s">
        <v>5574</v>
      </c>
      <c r="L124" s="8" t="str">
        <f>HYPERLINK("http://slimages.macys.com/is/image/MCY/14658384 ")</f>
        <v xml:space="preserve">http://slimages.macys.com/is/image/MCY/14658384 </v>
      </c>
    </row>
    <row r="125" spans="1:12" x14ac:dyDescent="0.25">
      <c r="A125" s="6" t="s">
        <v>883</v>
      </c>
      <c r="B125" s="3" t="s">
        <v>5970</v>
      </c>
      <c r="C125" s="4">
        <v>1</v>
      </c>
      <c r="D125" s="5">
        <v>34.99</v>
      </c>
      <c r="E125" s="4" t="s">
        <v>5971</v>
      </c>
      <c r="F125" s="3" t="s">
        <v>5820</v>
      </c>
      <c r="G125" s="7" t="s">
        <v>5560</v>
      </c>
      <c r="H125" s="3" t="s">
        <v>5606</v>
      </c>
      <c r="I125" s="3" t="s">
        <v>5914</v>
      </c>
      <c r="J125" s="3" t="s">
        <v>5536</v>
      </c>
      <c r="K125" s="3" t="s">
        <v>5574</v>
      </c>
      <c r="L125" s="8" t="str">
        <f>HYPERLINK("http://slimages.macys.com/is/image/MCY/13852843 ")</f>
        <v xml:space="preserve">http://slimages.macys.com/is/image/MCY/13852843 </v>
      </c>
    </row>
    <row r="126" spans="1:12" ht="48.75" x14ac:dyDescent="0.25">
      <c r="A126" s="6" t="s">
        <v>884</v>
      </c>
      <c r="B126" s="3" t="s">
        <v>6001</v>
      </c>
      <c r="C126" s="4">
        <v>1</v>
      </c>
      <c r="D126" s="5">
        <v>34.99</v>
      </c>
      <c r="E126" s="4" t="s">
        <v>6002</v>
      </c>
      <c r="F126" s="3" t="s">
        <v>5745</v>
      </c>
      <c r="G126" s="7" t="s">
        <v>5560</v>
      </c>
      <c r="H126" s="3" t="s">
        <v>6003</v>
      </c>
      <c r="I126" s="3" t="s">
        <v>6004</v>
      </c>
      <c r="J126" s="3" t="s">
        <v>5536</v>
      </c>
      <c r="K126" s="3" t="s">
        <v>6005</v>
      </c>
      <c r="L126" s="8" t="str">
        <f>HYPERLINK("http://slimages.macys.com/is/image/MCY/10293522 ")</f>
        <v xml:space="preserve">http://slimages.macys.com/is/image/MCY/10293522 </v>
      </c>
    </row>
    <row r="127" spans="1:12" x14ac:dyDescent="0.25">
      <c r="A127" s="6" t="s">
        <v>885</v>
      </c>
      <c r="B127" s="3" t="s">
        <v>3100</v>
      </c>
      <c r="C127" s="4">
        <v>1</v>
      </c>
      <c r="D127" s="5">
        <v>49.5</v>
      </c>
      <c r="E127" s="4">
        <v>100081885</v>
      </c>
      <c r="F127" s="3" t="s">
        <v>5578</v>
      </c>
      <c r="G127" s="7" t="s">
        <v>5598</v>
      </c>
      <c r="H127" s="3" t="s">
        <v>5585</v>
      </c>
      <c r="I127" s="3" t="s">
        <v>5734</v>
      </c>
      <c r="J127" s="3" t="s">
        <v>5536</v>
      </c>
      <c r="K127" s="3" t="s">
        <v>5574</v>
      </c>
      <c r="L127" s="8" t="str">
        <f t="shared" ref="L127:L133" si="0">HYPERLINK("http://slimages.macys.com/is/image/MCY/15861651 ")</f>
        <v xml:space="preserve">http://slimages.macys.com/is/image/MCY/15861651 </v>
      </c>
    </row>
    <row r="128" spans="1:12" x14ac:dyDescent="0.25">
      <c r="A128" s="6" t="s">
        <v>886</v>
      </c>
      <c r="B128" s="3" t="s">
        <v>3100</v>
      </c>
      <c r="C128" s="4">
        <v>3</v>
      </c>
      <c r="D128" s="5">
        <v>148.5</v>
      </c>
      <c r="E128" s="4">
        <v>100081885</v>
      </c>
      <c r="F128" s="3" t="s">
        <v>5578</v>
      </c>
      <c r="G128" s="7" t="s">
        <v>5562</v>
      </c>
      <c r="H128" s="3" t="s">
        <v>5585</v>
      </c>
      <c r="I128" s="3" t="s">
        <v>5734</v>
      </c>
      <c r="J128" s="3" t="s">
        <v>5536</v>
      </c>
      <c r="K128" s="3" t="s">
        <v>5574</v>
      </c>
      <c r="L128" s="8" t="str">
        <f t="shared" si="0"/>
        <v xml:space="preserve">http://slimages.macys.com/is/image/MCY/15861651 </v>
      </c>
    </row>
    <row r="129" spans="1:12" x14ac:dyDescent="0.25">
      <c r="A129" s="6" t="s">
        <v>887</v>
      </c>
      <c r="B129" s="3" t="s">
        <v>3100</v>
      </c>
      <c r="C129" s="4">
        <v>2</v>
      </c>
      <c r="D129" s="5">
        <v>99</v>
      </c>
      <c r="E129" s="4">
        <v>100081885</v>
      </c>
      <c r="F129" s="3" t="s">
        <v>5578</v>
      </c>
      <c r="G129" s="7" t="s">
        <v>5596</v>
      </c>
      <c r="H129" s="3" t="s">
        <v>5585</v>
      </c>
      <c r="I129" s="3" t="s">
        <v>5734</v>
      </c>
      <c r="J129" s="3" t="s">
        <v>5536</v>
      </c>
      <c r="K129" s="3" t="s">
        <v>5574</v>
      </c>
      <c r="L129" s="8" t="str">
        <f t="shared" si="0"/>
        <v xml:space="preserve">http://slimages.macys.com/is/image/MCY/15861651 </v>
      </c>
    </row>
    <row r="130" spans="1:12" x14ac:dyDescent="0.25">
      <c r="A130" s="6" t="s">
        <v>888</v>
      </c>
      <c r="B130" s="3" t="s">
        <v>3100</v>
      </c>
      <c r="C130" s="4">
        <v>2</v>
      </c>
      <c r="D130" s="5">
        <v>99</v>
      </c>
      <c r="E130" s="4">
        <v>100081885</v>
      </c>
      <c r="F130" s="3" t="s">
        <v>5578</v>
      </c>
      <c r="G130" s="7" t="s">
        <v>5533</v>
      </c>
      <c r="H130" s="3" t="s">
        <v>5585</v>
      </c>
      <c r="I130" s="3" t="s">
        <v>5734</v>
      </c>
      <c r="J130" s="3" t="s">
        <v>5536</v>
      </c>
      <c r="K130" s="3" t="s">
        <v>5574</v>
      </c>
      <c r="L130" s="8" t="str">
        <f t="shared" si="0"/>
        <v xml:space="preserve">http://slimages.macys.com/is/image/MCY/15861651 </v>
      </c>
    </row>
    <row r="131" spans="1:12" x14ac:dyDescent="0.25">
      <c r="A131" s="6" t="s">
        <v>889</v>
      </c>
      <c r="B131" s="3" t="s">
        <v>3100</v>
      </c>
      <c r="C131" s="4">
        <v>1</v>
      </c>
      <c r="D131" s="5">
        <v>49.5</v>
      </c>
      <c r="E131" s="4">
        <v>100081885</v>
      </c>
      <c r="F131" s="3" t="s">
        <v>5578</v>
      </c>
      <c r="G131" s="7" t="s">
        <v>5560</v>
      </c>
      <c r="H131" s="3" t="s">
        <v>5585</v>
      </c>
      <c r="I131" s="3" t="s">
        <v>5734</v>
      </c>
      <c r="J131" s="3" t="s">
        <v>5536</v>
      </c>
      <c r="K131" s="3" t="s">
        <v>5574</v>
      </c>
      <c r="L131" s="8" t="str">
        <f t="shared" si="0"/>
        <v xml:space="preserve">http://slimages.macys.com/is/image/MCY/15861651 </v>
      </c>
    </row>
    <row r="132" spans="1:12" x14ac:dyDescent="0.25">
      <c r="A132" s="6" t="s">
        <v>890</v>
      </c>
      <c r="B132" s="3" t="s">
        <v>3100</v>
      </c>
      <c r="C132" s="4">
        <v>1</v>
      </c>
      <c r="D132" s="5">
        <v>49.5</v>
      </c>
      <c r="E132" s="4">
        <v>100081885</v>
      </c>
      <c r="F132" s="3" t="s">
        <v>5578</v>
      </c>
      <c r="G132" s="7" t="s">
        <v>5582</v>
      </c>
      <c r="H132" s="3" t="s">
        <v>5585</v>
      </c>
      <c r="I132" s="3" t="s">
        <v>5734</v>
      </c>
      <c r="J132" s="3" t="s">
        <v>5536</v>
      </c>
      <c r="K132" s="3" t="s">
        <v>5574</v>
      </c>
      <c r="L132" s="8" t="str">
        <f t="shared" si="0"/>
        <v xml:space="preserve">http://slimages.macys.com/is/image/MCY/15861651 </v>
      </c>
    </row>
    <row r="133" spans="1:12" ht="24.75" x14ac:dyDescent="0.25">
      <c r="A133" s="6" t="s">
        <v>891</v>
      </c>
      <c r="B133" s="3" t="s">
        <v>3100</v>
      </c>
      <c r="C133" s="4">
        <v>1</v>
      </c>
      <c r="D133" s="5">
        <v>49.5</v>
      </c>
      <c r="E133" s="4">
        <v>100081885</v>
      </c>
      <c r="F133" s="3" t="s">
        <v>5578</v>
      </c>
      <c r="G133" s="7" t="s">
        <v>5733</v>
      </c>
      <c r="H133" s="3" t="s">
        <v>5585</v>
      </c>
      <c r="I133" s="3" t="s">
        <v>5734</v>
      </c>
      <c r="J133" s="3" t="s">
        <v>5536</v>
      </c>
      <c r="K133" s="3" t="s">
        <v>5574</v>
      </c>
      <c r="L133" s="8" t="str">
        <f t="shared" si="0"/>
        <v xml:space="preserve">http://slimages.macys.com/is/image/MCY/15861651 </v>
      </c>
    </row>
    <row r="134" spans="1:12" ht="24.75" x14ac:dyDescent="0.25">
      <c r="A134" s="6" t="s">
        <v>892</v>
      </c>
      <c r="B134" s="3" t="s">
        <v>893</v>
      </c>
      <c r="C134" s="4">
        <v>1</v>
      </c>
      <c r="D134" s="5">
        <v>45</v>
      </c>
      <c r="E134" s="4" t="s">
        <v>894</v>
      </c>
      <c r="F134" s="3" t="s">
        <v>5532</v>
      </c>
      <c r="G134" s="7" t="s">
        <v>5560</v>
      </c>
      <c r="H134" s="3" t="s">
        <v>6019</v>
      </c>
      <c r="I134" s="3" t="s">
        <v>3918</v>
      </c>
      <c r="J134" s="3" t="s">
        <v>5536</v>
      </c>
      <c r="K134" s="3" t="s">
        <v>5594</v>
      </c>
      <c r="L134" s="8" t="str">
        <f>HYPERLINK("http://slimages.macys.com/is/image/MCY/16190044 ")</f>
        <v xml:space="preserve">http://slimages.macys.com/is/image/MCY/16190044 </v>
      </c>
    </row>
    <row r="135" spans="1:12" ht="24.75" x14ac:dyDescent="0.25">
      <c r="A135" s="6" t="s">
        <v>895</v>
      </c>
      <c r="B135" s="3" t="s">
        <v>896</v>
      </c>
      <c r="C135" s="4">
        <v>1</v>
      </c>
      <c r="D135" s="5">
        <v>69.5</v>
      </c>
      <c r="E135" s="4">
        <v>100075963</v>
      </c>
      <c r="F135" s="3" t="s">
        <v>5540</v>
      </c>
      <c r="G135" s="7" t="s">
        <v>5562</v>
      </c>
      <c r="H135" s="3" t="s">
        <v>5585</v>
      </c>
      <c r="I135" s="3" t="s">
        <v>5586</v>
      </c>
      <c r="J135" s="3" t="s">
        <v>5536</v>
      </c>
      <c r="K135" s="3" t="s">
        <v>5864</v>
      </c>
      <c r="L135" s="8" t="str">
        <f>HYPERLINK("http://slimages.macys.com/is/image/MCY/15387427 ")</f>
        <v xml:space="preserve">http://slimages.macys.com/is/image/MCY/15387427 </v>
      </c>
    </row>
    <row r="136" spans="1:12" ht="24.75" x14ac:dyDescent="0.25">
      <c r="A136" s="6" t="s">
        <v>897</v>
      </c>
      <c r="B136" s="3" t="s">
        <v>4801</v>
      </c>
      <c r="C136" s="4">
        <v>1</v>
      </c>
      <c r="D136" s="5">
        <v>34.99</v>
      </c>
      <c r="E136" s="4" t="s">
        <v>4802</v>
      </c>
      <c r="F136" s="3" t="s">
        <v>5578</v>
      </c>
      <c r="G136" s="7" t="s">
        <v>5560</v>
      </c>
      <c r="H136" s="3" t="s">
        <v>6003</v>
      </c>
      <c r="I136" s="3" t="s">
        <v>6004</v>
      </c>
      <c r="J136" s="3" t="s">
        <v>5536</v>
      </c>
      <c r="K136" s="3" t="s">
        <v>4803</v>
      </c>
      <c r="L136" s="8" t="str">
        <f>HYPERLINK("http://slimages.macys.com/is/image/MCY/14766516 ")</f>
        <v xml:space="preserve">http://slimages.macys.com/is/image/MCY/14766516 </v>
      </c>
    </row>
    <row r="137" spans="1:12" ht="24.75" x14ac:dyDescent="0.25">
      <c r="A137" s="6" t="s">
        <v>898</v>
      </c>
      <c r="B137" s="3" t="s">
        <v>899</v>
      </c>
      <c r="C137" s="4">
        <v>2</v>
      </c>
      <c r="D137" s="5">
        <v>69.98</v>
      </c>
      <c r="E137" s="4">
        <v>328960002</v>
      </c>
      <c r="F137" s="3" t="s">
        <v>5714</v>
      </c>
      <c r="G137" s="7" t="s">
        <v>5682</v>
      </c>
      <c r="H137" s="3" t="s">
        <v>5807</v>
      </c>
      <c r="I137" s="3" t="s">
        <v>5808</v>
      </c>
      <c r="J137" s="3" t="s">
        <v>5536</v>
      </c>
      <c r="K137" s="3" t="s">
        <v>5641</v>
      </c>
      <c r="L137" s="8" t="str">
        <f>HYPERLINK("http://slimages.macys.com/is/image/MCY/8797311 ")</f>
        <v xml:space="preserve">http://slimages.macys.com/is/image/MCY/8797311 </v>
      </c>
    </row>
    <row r="138" spans="1:12" ht="24.75" x14ac:dyDescent="0.25">
      <c r="A138" s="6" t="s">
        <v>900</v>
      </c>
      <c r="B138" s="3" t="s">
        <v>901</v>
      </c>
      <c r="C138" s="4">
        <v>1</v>
      </c>
      <c r="D138" s="5">
        <v>40</v>
      </c>
      <c r="E138" s="4">
        <v>100011594</v>
      </c>
      <c r="F138" s="3" t="s">
        <v>5532</v>
      </c>
      <c r="G138" s="7" t="s">
        <v>5562</v>
      </c>
      <c r="H138" s="3" t="s">
        <v>3941</v>
      </c>
      <c r="I138" s="3" t="s">
        <v>3942</v>
      </c>
      <c r="J138" s="3" t="s">
        <v>5536</v>
      </c>
      <c r="K138" s="3" t="s">
        <v>5587</v>
      </c>
      <c r="L138" s="8" t="str">
        <f>HYPERLINK("http://slimages.macys.com/is/image/MCY/9309229 ")</f>
        <v xml:space="preserve">http://slimages.macys.com/is/image/MCY/9309229 </v>
      </c>
    </row>
    <row r="139" spans="1:12" ht="24.75" x14ac:dyDescent="0.25">
      <c r="A139" s="6" t="s">
        <v>902</v>
      </c>
      <c r="B139" s="3" t="s">
        <v>901</v>
      </c>
      <c r="C139" s="4">
        <v>1</v>
      </c>
      <c r="D139" s="5">
        <v>40</v>
      </c>
      <c r="E139" s="4">
        <v>100011594</v>
      </c>
      <c r="F139" s="3" t="s">
        <v>5532</v>
      </c>
      <c r="G139" s="7" t="s">
        <v>5598</v>
      </c>
      <c r="H139" s="3" t="s">
        <v>3941</v>
      </c>
      <c r="I139" s="3" t="s">
        <v>3942</v>
      </c>
      <c r="J139" s="3" t="s">
        <v>5536</v>
      </c>
      <c r="K139" s="3" t="s">
        <v>5587</v>
      </c>
      <c r="L139" s="8" t="str">
        <f>HYPERLINK("http://slimages.macys.com/is/image/MCY/9309229 ")</f>
        <v xml:space="preserve">http://slimages.macys.com/is/image/MCY/9309229 </v>
      </c>
    </row>
    <row r="140" spans="1:12" ht="24.75" x14ac:dyDescent="0.25">
      <c r="A140" s="6" t="s">
        <v>6033</v>
      </c>
      <c r="B140" s="3" t="s">
        <v>6034</v>
      </c>
      <c r="C140" s="4">
        <v>1</v>
      </c>
      <c r="D140" s="5">
        <v>36.99</v>
      </c>
      <c r="E140" s="4" t="s">
        <v>6035</v>
      </c>
      <c r="F140" s="3" t="s">
        <v>5793</v>
      </c>
      <c r="G140" s="7" t="s">
        <v>5764</v>
      </c>
      <c r="H140" s="3" t="s">
        <v>6026</v>
      </c>
      <c r="I140" s="3" t="s">
        <v>6027</v>
      </c>
      <c r="J140" s="3" t="s">
        <v>5536</v>
      </c>
      <c r="K140" s="3" t="s">
        <v>5641</v>
      </c>
      <c r="L140" s="8" t="str">
        <f>HYPERLINK("http://slimages.macys.com/is/image/MCY/15797564 ")</f>
        <v xml:space="preserve">http://slimages.macys.com/is/image/MCY/15797564 </v>
      </c>
    </row>
    <row r="141" spans="1:12" ht="24.75" x14ac:dyDescent="0.25">
      <c r="A141" s="6" t="s">
        <v>903</v>
      </c>
      <c r="B141" s="3" t="s">
        <v>6023</v>
      </c>
      <c r="C141" s="4">
        <v>1</v>
      </c>
      <c r="D141" s="5">
        <v>36.99</v>
      </c>
      <c r="E141" s="4" t="s">
        <v>6024</v>
      </c>
      <c r="F141" s="3" t="s">
        <v>5625</v>
      </c>
      <c r="G141" s="7" t="s">
        <v>5760</v>
      </c>
      <c r="H141" s="3" t="s">
        <v>6026</v>
      </c>
      <c r="I141" s="3" t="s">
        <v>6027</v>
      </c>
      <c r="J141" s="3" t="s">
        <v>5536</v>
      </c>
      <c r="K141" s="3" t="s">
        <v>5641</v>
      </c>
      <c r="L141" s="8" t="str">
        <f>HYPERLINK("http://slimages.macys.com/is/image/MCY/16260743 ")</f>
        <v xml:space="preserve">http://slimages.macys.com/is/image/MCY/16260743 </v>
      </c>
    </row>
    <row r="142" spans="1:12" ht="24.75" x14ac:dyDescent="0.25">
      <c r="A142" s="6" t="s">
        <v>6032</v>
      </c>
      <c r="B142" s="3" t="s">
        <v>6023</v>
      </c>
      <c r="C142" s="4">
        <v>1</v>
      </c>
      <c r="D142" s="5">
        <v>36.99</v>
      </c>
      <c r="E142" s="4" t="s">
        <v>6024</v>
      </c>
      <c r="F142" s="3" t="s">
        <v>5625</v>
      </c>
      <c r="G142" s="7" t="s">
        <v>5768</v>
      </c>
      <c r="H142" s="3" t="s">
        <v>6026</v>
      </c>
      <c r="I142" s="3" t="s">
        <v>6027</v>
      </c>
      <c r="J142" s="3" t="s">
        <v>5536</v>
      </c>
      <c r="K142" s="3" t="s">
        <v>5641</v>
      </c>
      <c r="L142" s="8" t="str">
        <f>HYPERLINK("http://slimages.macys.com/is/image/MCY/16260743 ")</f>
        <v xml:space="preserve">http://slimages.macys.com/is/image/MCY/16260743 </v>
      </c>
    </row>
    <row r="143" spans="1:12" ht="24.75" x14ac:dyDescent="0.25">
      <c r="A143" s="6" t="s">
        <v>904</v>
      </c>
      <c r="B143" s="3" t="s">
        <v>6023</v>
      </c>
      <c r="C143" s="4">
        <v>1</v>
      </c>
      <c r="D143" s="5">
        <v>36.99</v>
      </c>
      <c r="E143" s="4" t="s">
        <v>6024</v>
      </c>
      <c r="F143" s="3" t="s">
        <v>5625</v>
      </c>
      <c r="G143" s="7" t="s">
        <v>5755</v>
      </c>
      <c r="H143" s="3" t="s">
        <v>6026</v>
      </c>
      <c r="I143" s="3" t="s">
        <v>6027</v>
      </c>
      <c r="J143" s="3" t="s">
        <v>5536</v>
      </c>
      <c r="K143" s="3" t="s">
        <v>5641</v>
      </c>
      <c r="L143" s="8" t="str">
        <f>HYPERLINK("http://slimages.macys.com/is/image/MCY/16260743 ")</f>
        <v xml:space="preserve">http://slimages.macys.com/is/image/MCY/16260743 </v>
      </c>
    </row>
    <row r="144" spans="1:12" ht="24.75" x14ac:dyDescent="0.25">
      <c r="A144" s="6" t="s">
        <v>905</v>
      </c>
      <c r="B144" s="3" t="s">
        <v>6034</v>
      </c>
      <c r="C144" s="4">
        <v>1</v>
      </c>
      <c r="D144" s="5">
        <v>36.99</v>
      </c>
      <c r="E144" s="4" t="s">
        <v>6035</v>
      </c>
      <c r="F144" s="3" t="s">
        <v>5793</v>
      </c>
      <c r="G144" s="7" t="s">
        <v>5762</v>
      </c>
      <c r="H144" s="3" t="s">
        <v>6026</v>
      </c>
      <c r="I144" s="3" t="s">
        <v>6027</v>
      </c>
      <c r="J144" s="3" t="s">
        <v>5536</v>
      </c>
      <c r="K144" s="3" t="s">
        <v>5641</v>
      </c>
      <c r="L144" s="8" t="str">
        <f>HYPERLINK("http://slimages.macys.com/is/image/MCY/15797564 ")</f>
        <v xml:space="preserve">http://slimages.macys.com/is/image/MCY/15797564 </v>
      </c>
    </row>
    <row r="145" spans="1:12" ht="24.75" x14ac:dyDescent="0.25">
      <c r="A145" s="6" t="s">
        <v>6031</v>
      </c>
      <c r="B145" s="3" t="s">
        <v>6023</v>
      </c>
      <c r="C145" s="4">
        <v>2</v>
      </c>
      <c r="D145" s="5">
        <v>73.98</v>
      </c>
      <c r="E145" s="4" t="s">
        <v>6024</v>
      </c>
      <c r="F145" s="3" t="s">
        <v>5625</v>
      </c>
      <c r="G145" s="7"/>
      <c r="H145" s="3" t="s">
        <v>6026</v>
      </c>
      <c r="I145" s="3" t="s">
        <v>6027</v>
      </c>
      <c r="J145" s="3" t="s">
        <v>5536</v>
      </c>
      <c r="K145" s="3" t="s">
        <v>5641</v>
      </c>
      <c r="L145" s="8" t="str">
        <f>HYPERLINK("http://slimages.macys.com/is/image/MCY/16260743 ")</f>
        <v xml:space="preserve">http://slimages.macys.com/is/image/MCY/16260743 </v>
      </c>
    </row>
    <row r="146" spans="1:12" ht="24.75" x14ac:dyDescent="0.25">
      <c r="A146" s="6" t="s">
        <v>906</v>
      </c>
      <c r="B146" s="3" t="s">
        <v>6034</v>
      </c>
      <c r="C146" s="4">
        <v>1</v>
      </c>
      <c r="D146" s="5">
        <v>36.99</v>
      </c>
      <c r="E146" s="4" t="s">
        <v>6035</v>
      </c>
      <c r="F146" s="3" t="s">
        <v>5793</v>
      </c>
      <c r="G146" s="7" t="s">
        <v>6476</v>
      </c>
      <c r="H146" s="3" t="s">
        <v>6026</v>
      </c>
      <c r="I146" s="3" t="s">
        <v>6027</v>
      </c>
      <c r="J146" s="3" t="s">
        <v>5536</v>
      </c>
      <c r="K146" s="3" t="s">
        <v>5641</v>
      </c>
      <c r="L146" s="8" t="str">
        <f>HYPERLINK("http://slimages.macys.com/is/image/MCY/15797564 ")</f>
        <v xml:space="preserve">http://slimages.macys.com/is/image/MCY/15797564 </v>
      </c>
    </row>
    <row r="147" spans="1:12" ht="24.75" x14ac:dyDescent="0.25">
      <c r="A147" s="6" t="s">
        <v>6036</v>
      </c>
      <c r="B147" s="3" t="s">
        <v>6034</v>
      </c>
      <c r="C147" s="4">
        <v>1</v>
      </c>
      <c r="D147" s="5">
        <v>36.99</v>
      </c>
      <c r="E147" s="4" t="s">
        <v>6035</v>
      </c>
      <c r="F147" s="3" t="s">
        <v>5793</v>
      </c>
      <c r="G147" s="7" t="s">
        <v>5824</v>
      </c>
      <c r="H147" s="3" t="s">
        <v>6026</v>
      </c>
      <c r="I147" s="3" t="s">
        <v>6027</v>
      </c>
      <c r="J147" s="3" t="s">
        <v>5536</v>
      </c>
      <c r="K147" s="3" t="s">
        <v>5641</v>
      </c>
      <c r="L147" s="8" t="str">
        <f>HYPERLINK("http://slimages.macys.com/is/image/MCY/15797564 ")</f>
        <v xml:space="preserve">http://slimages.macys.com/is/image/MCY/15797564 </v>
      </c>
    </row>
    <row r="148" spans="1:12" ht="24.75" x14ac:dyDescent="0.25">
      <c r="A148" s="6" t="s">
        <v>907</v>
      </c>
      <c r="B148" s="3" t="s">
        <v>908</v>
      </c>
      <c r="C148" s="4">
        <v>1</v>
      </c>
      <c r="D148" s="5">
        <v>36.99</v>
      </c>
      <c r="E148" s="4" t="s">
        <v>909</v>
      </c>
      <c r="F148" s="3" t="s">
        <v>5604</v>
      </c>
      <c r="G148" s="7" t="s">
        <v>5573</v>
      </c>
      <c r="H148" s="3" t="s">
        <v>5892</v>
      </c>
      <c r="I148" s="3" t="s">
        <v>5893</v>
      </c>
      <c r="J148" s="3"/>
      <c r="K148" s="3"/>
      <c r="L148" s="8" t="str">
        <f>HYPERLINK("http://slimages.macys.com/is/image/MCY/16585085 ")</f>
        <v xml:space="preserve">http://slimages.macys.com/is/image/MCY/16585085 </v>
      </c>
    </row>
    <row r="149" spans="1:12" ht="24.75" x14ac:dyDescent="0.25">
      <c r="A149" s="6" t="s">
        <v>6037</v>
      </c>
      <c r="B149" s="3" t="s">
        <v>6034</v>
      </c>
      <c r="C149" s="4">
        <v>1</v>
      </c>
      <c r="D149" s="5">
        <v>36.99</v>
      </c>
      <c r="E149" s="4" t="s">
        <v>6035</v>
      </c>
      <c r="F149" s="3" t="s">
        <v>5793</v>
      </c>
      <c r="G149" s="7" t="s">
        <v>5768</v>
      </c>
      <c r="H149" s="3" t="s">
        <v>6026</v>
      </c>
      <c r="I149" s="3" t="s">
        <v>6027</v>
      </c>
      <c r="J149" s="3" t="s">
        <v>5536</v>
      </c>
      <c r="K149" s="3" t="s">
        <v>5641</v>
      </c>
      <c r="L149" s="8" t="str">
        <f>HYPERLINK("http://slimages.macys.com/is/image/MCY/15797564 ")</f>
        <v xml:space="preserve">http://slimages.macys.com/is/image/MCY/15797564 </v>
      </c>
    </row>
    <row r="150" spans="1:12" ht="24.75" x14ac:dyDescent="0.25">
      <c r="A150" s="6" t="s">
        <v>910</v>
      </c>
      <c r="B150" s="3" t="s">
        <v>6023</v>
      </c>
      <c r="C150" s="4">
        <v>1</v>
      </c>
      <c r="D150" s="5">
        <v>36.99</v>
      </c>
      <c r="E150" s="4" t="s">
        <v>6024</v>
      </c>
      <c r="F150" s="3" t="s">
        <v>5625</v>
      </c>
      <c r="G150" s="7"/>
      <c r="H150" s="3" t="s">
        <v>6026</v>
      </c>
      <c r="I150" s="3" t="s">
        <v>6027</v>
      </c>
      <c r="J150" s="3" t="s">
        <v>5536</v>
      </c>
      <c r="K150" s="3" t="s">
        <v>5641</v>
      </c>
      <c r="L150" s="8" t="str">
        <f>HYPERLINK("http://slimages.macys.com/is/image/MCY/16260743 ")</f>
        <v xml:space="preserve">http://slimages.macys.com/is/image/MCY/16260743 </v>
      </c>
    </row>
    <row r="151" spans="1:12" ht="24.75" x14ac:dyDescent="0.25">
      <c r="A151" s="6" t="s">
        <v>3025</v>
      </c>
      <c r="B151" s="3" t="s">
        <v>2205</v>
      </c>
      <c r="C151" s="4">
        <v>1</v>
      </c>
      <c r="D151" s="5">
        <v>36.99</v>
      </c>
      <c r="E151" s="4" t="s">
        <v>2206</v>
      </c>
      <c r="F151" s="3" t="s">
        <v>5566</v>
      </c>
      <c r="G151" s="7" t="s">
        <v>6025</v>
      </c>
      <c r="H151" s="3" t="s">
        <v>6026</v>
      </c>
      <c r="I151" s="3" t="s">
        <v>6027</v>
      </c>
      <c r="J151" s="3" t="s">
        <v>5536</v>
      </c>
      <c r="K151" s="3" t="s">
        <v>5641</v>
      </c>
      <c r="L151" s="8" t="str">
        <f>HYPERLINK("http://slimages.macys.com/is/image/MCY/15953887 ")</f>
        <v xml:space="preserve">http://slimages.macys.com/is/image/MCY/15953887 </v>
      </c>
    </row>
    <row r="152" spans="1:12" ht="24.75" x14ac:dyDescent="0.25">
      <c r="A152" s="6" t="s">
        <v>6029</v>
      </c>
      <c r="B152" s="3" t="s">
        <v>6023</v>
      </c>
      <c r="C152" s="4">
        <v>1</v>
      </c>
      <c r="D152" s="5">
        <v>36.99</v>
      </c>
      <c r="E152" s="4" t="s">
        <v>6024</v>
      </c>
      <c r="F152" s="3" t="s">
        <v>5625</v>
      </c>
      <c r="G152" s="7" t="s">
        <v>5777</v>
      </c>
      <c r="H152" s="3" t="s">
        <v>6026</v>
      </c>
      <c r="I152" s="3" t="s">
        <v>6027</v>
      </c>
      <c r="J152" s="3" t="s">
        <v>5536</v>
      </c>
      <c r="K152" s="3" t="s">
        <v>5641</v>
      </c>
      <c r="L152" s="8" t="str">
        <f>HYPERLINK("http://slimages.macys.com/is/image/MCY/16260743 ")</f>
        <v xml:space="preserve">http://slimages.macys.com/is/image/MCY/16260743 </v>
      </c>
    </row>
    <row r="153" spans="1:12" ht="24.75" x14ac:dyDescent="0.25">
      <c r="A153" s="6" t="s">
        <v>6030</v>
      </c>
      <c r="B153" s="3" t="s">
        <v>6023</v>
      </c>
      <c r="C153" s="4">
        <v>1</v>
      </c>
      <c r="D153" s="5">
        <v>36.99</v>
      </c>
      <c r="E153" s="4" t="s">
        <v>6024</v>
      </c>
      <c r="F153" s="3" t="s">
        <v>5625</v>
      </c>
      <c r="G153" s="7" t="s">
        <v>5764</v>
      </c>
      <c r="H153" s="3" t="s">
        <v>6026</v>
      </c>
      <c r="I153" s="3" t="s">
        <v>6027</v>
      </c>
      <c r="J153" s="3" t="s">
        <v>5536</v>
      </c>
      <c r="K153" s="3" t="s">
        <v>5641</v>
      </c>
      <c r="L153" s="8" t="str">
        <f>HYPERLINK("http://slimages.macys.com/is/image/MCY/16260743 ")</f>
        <v xml:space="preserve">http://slimages.macys.com/is/image/MCY/16260743 </v>
      </c>
    </row>
    <row r="154" spans="1:12" x14ac:dyDescent="0.25">
      <c r="A154" s="6" t="s">
        <v>911</v>
      </c>
      <c r="B154" s="3" t="s">
        <v>6052</v>
      </c>
      <c r="C154" s="4">
        <v>1</v>
      </c>
      <c r="D154" s="5">
        <v>44.99</v>
      </c>
      <c r="E154" s="4" t="s">
        <v>6053</v>
      </c>
      <c r="F154" s="3" t="s">
        <v>5977</v>
      </c>
      <c r="G154" s="7" t="s">
        <v>5598</v>
      </c>
      <c r="H154" s="3" t="s">
        <v>5978</v>
      </c>
      <c r="I154" s="3" t="s">
        <v>5979</v>
      </c>
      <c r="J154" s="3" t="s">
        <v>5536</v>
      </c>
      <c r="K154" s="3" t="s">
        <v>5553</v>
      </c>
      <c r="L154" s="8" t="str">
        <f>HYPERLINK("http://slimages.macys.com/is/image/MCY/14335950 ")</f>
        <v xml:space="preserve">http://slimages.macys.com/is/image/MCY/14335950 </v>
      </c>
    </row>
    <row r="155" spans="1:12" ht="24.75" x14ac:dyDescent="0.25">
      <c r="A155" s="6" t="s">
        <v>912</v>
      </c>
      <c r="B155" s="3" t="s">
        <v>3940</v>
      </c>
      <c r="C155" s="4">
        <v>1</v>
      </c>
      <c r="D155" s="5">
        <v>50</v>
      </c>
      <c r="E155" s="4">
        <v>10003810600</v>
      </c>
      <c r="F155" s="3" t="s">
        <v>6271</v>
      </c>
      <c r="G155" s="7" t="s">
        <v>5582</v>
      </c>
      <c r="H155" s="3" t="s">
        <v>3941</v>
      </c>
      <c r="I155" s="3" t="s">
        <v>3942</v>
      </c>
      <c r="J155" s="3" t="s">
        <v>5536</v>
      </c>
      <c r="K155" s="3" t="s">
        <v>5727</v>
      </c>
      <c r="L155" s="8" t="str">
        <f>HYPERLINK("http://slimages.macys.com/is/image/MCY/11621770 ")</f>
        <v xml:space="preserve">http://slimages.macys.com/is/image/MCY/11621770 </v>
      </c>
    </row>
    <row r="156" spans="1:12" ht="24.75" x14ac:dyDescent="0.25">
      <c r="A156" s="6" t="s">
        <v>913</v>
      </c>
      <c r="B156" s="3" t="s">
        <v>3940</v>
      </c>
      <c r="C156" s="4">
        <v>1</v>
      </c>
      <c r="D156" s="5">
        <v>50</v>
      </c>
      <c r="E156" s="4">
        <v>10003810600</v>
      </c>
      <c r="F156" s="3" t="s">
        <v>6271</v>
      </c>
      <c r="G156" s="7" t="s">
        <v>5596</v>
      </c>
      <c r="H156" s="3" t="s">
        <v>3941</v>
      </c>
      <c r="I156" s="3" t="s">
        <v>3942</v>
      </c>
      <c r="J156" s="3" t="s">
        <v>5536</v>
      </c>
      <c r="K156" s="3" t="s">
        <v>5727</v>
      </c>
      <c r="L156" s="8" t="str">
        <f>HYPERLINK("http://slimages.macys.com/is/image/MCY/11621770 ")</f>
        <v xml:space="preserve">http://slimages.macys.com/is/image/MCY/11621770 </v>
      </c>
    </row>
    <row r="157" spans="1:12" x14ac:dyDescent="0.25">
      <c r="A157" s="6" t="s">
        <v>914</v>
      </c>
      <c r="B157" s="3" t="s">
        <v>3949</v>
      </c>
      <c r="C157" s="4">
        <v>1</v>
      </c>
      <c r="D157" s="5">
        <v>42.99</v>
      </c>
      <c r="E157" s="4" t="s">
        <v>3950</v>
      </c>
      <c r="F157" s="3" t="s">
        <v>5578</v>
      </c>
      <c r="G157" s="7" t="s">
        <v>5596</v>
      </c>
      <c r="H157" s="3" t="s">
        <v>6003</v>
      </c>
      <c r="I157" s="3" t="s">
        <v>6004</v>
      </c>
      <c r="J157" s="3" t="s">
        <v>5536</v>
      </c>
      <c r="K157" s="3" t="s">
        <v>6071</v>
      </c>
      <c r="L157" s="8" t="str">
        <f>HYPERLINK("http://slimages.macys.com/is/image/MCY/8759351 ")</f>
        <v xml:space="preserve">http://slimages.macys.com/is/image/MCY/8759351 </v>
      </c>
    </row>
    <row r="158" spans="1:12" x14ac:dyDescent="0.25">
      <c r="A158" s="6" t="s">
        <v>915</v>
      </c>
      <c r="B158" s="3" t="s">
        <v>3949</v>
      </c>
      <c r="C158" s="4">
        <v>1</v>
      </c>
      <c r="D158" s="5">
        <v>42.99</v>
      </c>
      <c r="E158" s="4" t="s">
        <v>3950</v>
      </c>
      <c r="F158" s="3" t="s">
        <v>5540</v>
      </c>
      <c r="G158" s="7" t="s">
        <v>5533</v>
      </c>
      <c r="H158" s="3" t="s">
        <v>6003</v>
      </c>
      <c r="I158" s="3" t="s">
        <v>6004</v>
      </c>
      <c r="J158" s="3" t="s">
        <v>5536</v>
      </c>
      <c r="K158" s="3" t="s">
        <v>6071</v>
      </c>
      <c r="L158" s="8" t="str">
        <f>HYPERLINK("http://slimages.macys.com/is/image/MCY/8759351 ")</f>
        <v xml:space="preserve">http://slimages.macys.com/is/image/MCY/8759351 </v>
      </c>
    </row>
    <row r="159" spans="1:12" x14ac:dyDescent="0.25">
      <c r="A159" s="6" t="s">
        <v>3953</v>
      </c>
      <c r="B159" s="3" t="s">
        <v>3949</v>
      </c>
      <c r="C159" s="4">
        <v>1</v>
      </c>
      <c r="D159" s="5">
        <v>42.99</v>
      </c>
      <c r="E159" s="4" t="s">
        <v>3950</v>
      </c>
      <c r="F159" s="3" t="s">
        <v>5540</v>
      </c>
      <c r="G159" s="7" t="s">
        <v>5533</v>
      </c>
      <c r="H159" s="3" t="s">
        <v>6003</v>
      </c>
      <c r="I159" s="3" t="s">
        <v>6004</v>
      </c>
      <c r="J159" s="3" t="s">
        <v>5536</v>
      </c>
      <c r="K159" s="3" t="s">
        <v>6071</v>
      </c>
      <c r="L159" s="8" t="str">
        <f>HYPERLINK("http://slimages.macys.com/is/image/MCY/8759351 ")</f>
        <v xml:space="preserve">http://slimages.macys.com/is/image/MCY/8759351 </v>
      </c>
    </row>
    <row r="160" spans="1:12" x14ac:dyDescent="0.25">
      <c r="A160" s="6" t="s">
        <v>916</v>
      </c>
      <c r="B160" s="3" t="s">
        <v>3949</v>
      </c>
      <c r="C160" s="4">
        <v>1</v>
      </c>
      <c r="D160" s="5">
        <v>42.99</v>
      </c>
      <c r="E160" s="4" t="s">
        <v>3950</v>
      </c>
      <c r="F160" s="3" t="s">
        <v>6983</v>
      </c>
      <c r="G160" s="7" t="s">
        <v>5598</v>
      </c>
      <c r="H160" s="3" t="s">
        <v>6003</v>
      </c>
      <c r="I160" s="3" t="s">
        <v>6004</v>
      </c>
      <c r="J160" s="3" t="s">
        <v>5536</v>
      </c>
      <c r="K160" s="3" t="s">
        <v>6071</v>
      </c>
      <c r="L160" s="8" t="str">
        <f>HYPERLINK("http://slimages.macys.com/is/image/MCY/8759351 ")</f>
        <v xml:space="preserve">http://slimages.macys.com/is/image/MCY/8759351 </v>
      </c>
    </row>
    <row r="161" spans="1:12" ht="24.75" x14ac:dyDescent="0.25">
      <c r="A161" s="6" t="s">
        <v>917</v>
      </c>
      <c r="B161" s="3" t="s">
        <v>3949</v>
      </c>
      <c r="C161" s="4">
        <v>1</v>
      </c>
      <c r="D161" s="5">
        <v>42.99</v>
      </c>
      <c r="E161" s="4" t="s">
        <v>3950</v>
      </c>
      <c r="F161" s="3" t="s">
        <v>5714</v>
      </c>
      <c r="G161" s="7" t="s">
        <v>5596</v>
      </c>
      <c r="H161" s="3" t="s">
        <v>6003</v>
      </c>
      <c r="I161" s="3" t="s">
        <v>6004</v>
      </c>
      <c r="J161" s="3" t="s">
        <v>5536</v>
      </c>
      <c r="K161" s="3" t="s">
        <v>6071</v>
      </c>
      <c r="L161" s="8" t="str">
        <f>HYPERLINK("http://slimages.macys.com/is/image/MCY/8759351 ")</f>
        <v xml:space="preserve">http://slimages.macys.com/is/image/MCY/8759351 </v>
      </c>
    </row>
    <row r="162" spans="1:12" x14ac:dyDescent="0.25">
      <c r="A162" s="6" t="s">
        <v>918</v>
      </c>
      <c r="B162" s="3" t="s">
        <v>919</v>
      </c>
      <c r="C162" s="4">
        <v>1</v>
      </c>
      <c r="D162" s="5">
        <v>69.5</v>
      </c>
      <c r="E162" s="4">
        <v>100082440</v>
      </c>
      <c r="F162" s="3" t="s">
        <v>5532</v>
      </c>
      <c r="G162" s="7" t="s">
        <v>5562</v>
      </c>
      <c r="H162" s="3" t="s">
        <v>5585</v>
      </c>
      <c r="I162" s="3" t="s">
        <v>5586</v>
      </c>
      <c r="J162" s="3" t="s">
        <v>5536</v>
      </c>
      <c r="K162" s="3" t="s">
        <v>920</v>
      </c>
      <c r="L162" s="8" t="str">
        <f>HYPERLINK("http://slimages.macys.com/is/image/MCY/15669109 ")</f>
        <v xml:space="preserve">http://slimages.macys.com/is/image/MCY/15669109 </v>
      </c>
    </row>
    <row r="163" spans="1:12" x14ac:dyDescent="0.25">
      <c r="A163" s="6" t="s">
        <v>921</v>
      </c>
      <c r="B163" s="3" t="s">
        <v>919</v>
      </c>
      <c r="C163" s="4">
        <v>1</v>
      </c>
      <c r="D163" s="5">
        <v>69.5</v>
      </c>
      <c r="E163" s="4">
        <v>100082440</v>
      </c>
      <c r="F163" s="3" t="s">
        <v>5532</v>
      </c>
      <c r="G163" s="7" t="s">
        <v>5560</v>
      </c>
      <c r="H163" s="3" t="s">
        <v>5585</v>
      </c>
      <c r="I163" s="3" t="s">
        <v>5586</v>
      </c>
      <c r="J163" s="3" t="s">
        <v>5536</v>
      </c>
      <c r="K163" s="3" t="s">
        <v>920</v>
      </c>
      <c r="L163" s="8" t="str">
        <f>HYPERLINK("http://slimages.macys.com/is/image/MCY/15669109 ")</f>
        <v xml:space="preserve">http://slimages.macys.com/is/image/MCY/15669109 </v>
      </c>
    </row>
    <row r="164" spans="1:12" x14ac:dyDescent="0.25">
      <c r="A164" s="6" t="s">
        <v>922</v>
      </c>
      <c r="B164" s="3" t="s">
        <v>923</v>
      </c>
      <c r="C164" s="4">
        <v>1</v>
      </c>
      <c r="D164" s="5">
        <v>37.99</v>
      </c>
      <c r="E164" s="4" t="s">
        <v>924</v>
      </c>
      <c r="F164" s="3" t="s">
        <v>5783</v>
      </c>
      <c r="G164" s="7" t="s">
        <v>5562</v>
      </c>
      <c r="H164" s="3" t="s">
        <v>6065</v>
      </c>
      <c r="I164" s="3" t="s">
        <v>6066</v>
      </c>
      <c r="J164" s="3" t="s">
        <v>5536</v>
      </c>
      <c r="K164" s="3" t="s">
        <v>5549</v>
      </c>
      <c r="L164" s="8" t="str">
        <f>HYPERLINK("http://slimages.macys.com/is/image/MCY/14424374 ")</f>
        <v xml:space="preserve">http://slimages.macys.com/is/image/MCY/14424374 </v>
      </c>
    </row>
    <row r="165" spans="1:12" ht="24.75" x14ac:dyDescent="0.25">
      <c r="A165" s="6" t="s">
        <v>925</v>
      </c>
      <c r="B165" s="3" t="s">
        <v>926</v>
      </c>
      <c r="C165" s="4">
        <v>1</v>
      </c>
      <c r="D165" s="5">
        <v>34</v>
      </c>
      <c r="E165" s="4">
        <v>9040</v>
      </c>
      <c r="F165" s="3" t="s">
        <v>5572</v>
      </c>
      <c r="G165" s="7" t="s">
        <v>5562</v>
      </c>
      <c r="H165" s="3" t="s">
        <v>5794</v>
      </c>
      <c r="I165" s="3" t="s">
        <v>4325</v>
      </c>
      <c r="J165" s="3" t="s">
        <v>5536</v>
      </c>
      <c r="K165" s="3" t="s">
        <v>5574</v>
      </c>
      <c r="L165" s="8" t="str">
        <f>HYPERLINK("http://slimages.macys.com/is/image/MCY/3826047 ")</f>
        <v xml:space="preserve">http://slimages.macys.com/is/image/MCY/3826047 </v>
      </c>
    </row>
    <row r="166" spans="1:12" x14ac:dyDescent="0.25">
      <c r="A166" s="6" t="s">
        <v>927</v>
      </c>
      <c r="B166" s="3" t="s">
        <v>928</v>
      </c>
      <c r="C166" s="4">
        <v>2</v>
      </c>
      <c r="D166" s="5">
        <v>110</v>
      </c>
      <c r="E166" s="4">
        <v>100082450</v>
      </c>
      <c r="F166" s="3" t="s">
        <v>5783</v>
      </c>
      <c r="G166" s="7" t="s">
        <v>5596</v>
      </c>
      <c r="H166" s="3" t="s">
        <v>5585</v>
      </c>
      <c r="I166" s="3" t="s">
        <v>5586</v>
      </c>
      <c r="J166" s="3"/>
      <c r="K166" s="3"/>
      <c r="L166" s="8" t="str">
        <f>HYPERLINK("http://slimages.macys.com/is/image/MCY/15894904 ")</f>
        <v xml:space="preserve">http://slimages.macys.com/is/image/MCY/15894904 </v>
      </c>
    </row>
    <row r="167" spans="1:12" x14ac:dyDescent="0.25">
      <c r="A167" s="6" t="s">
        <v>929</v>
      </c>
      <c r="B167" s="3" t="s">
        <v>928</v>
      </c>
      <c r="C167" s="4">
        <v>1</v>
      </c>
      <c r="D167" s="5">
        <v>55</v>
      </c>
      <c r="E167" s="4">
        <v>100082450</v>
      </c>
      <c r="F167" s="3" t="s">
        <v>5783</v>
      </c>
      <c r="G167" s="7" t="s">
        <v>5560</v>
      </c>
      <c r="H167" s="3" t="s">
        <v>5585</v>
      </c>
      <c r="I167" s="3" t="s">
        <v>5586</v>
      </c>
      <c r="J167" s="3"/>
      <c r="K167" s="3"/>
      <c r="L167" s="8" t="str">
        <f>HYPERLINK("http://slimages.macys.com/is/image/MCY/15894904 ")</f>
        <v xml:space="preserve">http://slimages.macys.com/is/image/MCY/15894904 </v>
      </c>
    </row>
    <row r="168" spans="1:12" x14ac:dyDescent="0.25">
      <c r="A168" s="6" t="s">
        <v>930</v>
      </c>
      <c r="B168" s="3" t="s">
        <v>928</v>
      </c>
      <c r="C168" s="4">
        <v>1</v>
      </c>
      <c r="D168" s="5">
        <v>55</v>
      </c>
      <c r="E168" s="4">
        <v>100082450</v>
      </c>
      <c r="F168" s="3" t="s">
        <v>5783</v>
      </c>
      <c r="G168" s="7" t="s">
        <v>5533</v>
      </c>
      <c r="H168" s="3" t="s">
        <v>5585</v>
      </c>
      <c r="I168" s="3" t="s">
        <v>5586</v>
      </c>
      <c r="J168" s="3"/>
      <c r="K168" s="3"/>
      <c r="L168" s="8" t="str">
        <f>HYPERLINK("http://slimages.macys.com/is/image/MCY/15894904 ")</f>
        <v xml:space="preserve">http://slimages.macys.com/is/image/MCY/15894904 </v>
      </c>
    </row>
    <row r="169" spans="1:12" x14ac:dyDescent="0.25">
      <c r="A169" s="6" t="s">
        <v>931</v>
      </c>
      <c r="B169" s="3" t="s">
        <v>932</v>
      </c>
      <c r="C169" s="4">
        <v>1</v>
      </c>
      <c r="D169" s="5">
        <v>39.99</v>
      </c>
      <c r="E169" s="4" t="s">
        <v>933</v>
      </c>
      <c r="F169" s="3" t="s">
        <v>5783</v>
      </c>
      <c r="G169" s="7" t="s">
        <v>5533</v>
      </c>
      <c r="H169" s="3" t="s">
        <v>6065</v>
      </c>
      <c r="I169" s="3" t="s">
        <v>6066</v>
      </c>
      <c r="J169" s="3" t="s">
        <v>5536</v>
      </c>
      <c r="K169" s="3" t="s">
        <v>934</v>
      </c>
      <c r="L169" s="8" t="str">
        <f>HYPERLINK("http://slimages.macys.com/is/image/MCY/12050050 ")</f>
        <v xml:space="preserve">http://slimages.macys.com/is/image/MCY/12050050 </v>
      </c>
    </row>
    <row r="170" spans="1:12" ht="24.75" x14ac:dyDescent="0.25">
      <c r="A170" s="6" t="s">
        <v>935</v>
      </c>
      <c r="B170" s="3" t="s">
        <v>2246</v>
      </c>
      <c r="C170" s="4">
        <v>1</v>
      </c>
      <c r="D170" s="5">
        <v>59.5</v>
      </c>
      <c r="E170" s="4">
        <v>100066558</v>
      </c>
      <c r="F170" s="3" t="s">
        <v>5811</v>
      </c>
      <c r="G170" s="7" t="s">
        <v>5560</v>
      </c>
      <c r="H170" s="3" t="s">
        <v>5585</v>
      </c>
      <c r="I170" s="3" t="s">
        <v>5734</v>
      </c>
      <c r="J170" s="3" t="s">
        <v>5536</v>
      </c>
      <c r="K170" s="3" t="s">
        <v>2247</v>
      </c>
      <c r="L170" s="8" t="str">
        <f>HYPERLINK("http://slimages.macys.com/is/image/MCY/14572443 ")</f>
        <v xml:space="preserve">http://slimages.macys.com/is/image/MCY/14572443 </v>
      </c>
    </row>
    <row r="171" spans="1:12" ht="24.75" x14ac:dyDescent="0.25">
      <c r="A171" s="6" t="s">
        <v>936</v>
      </c>
      <c r="B171" s="3" t="s">
        <v>3705</v>
      </c>
      <c r="C171" s="4">
        <v>1</v>
      </c>
      <c r="D171" s="5">
        <v>29.99</v>
      </c>
      <c r="E171" s="4" t="s">
        <v>3706</v>
      </c>
      <c r="F171" s="3" t="s">
        <v>5783</v>
      </c>
      <c r="G171" s="7" t="s">
        <v>5707</v>
      </c>
      <c r="H171" s="3" t="s">
        <v>5862</v>
      </c>
      <c r="I171" s="3" t="s">
        <v>6204</v>
      </c>
      <c r="J171" s="3" t="s">
        <v>5536</v>
      </c>
      <c r="K171" s="3" t="s">
        <v>5727</v>
      </c>
      <c r="L171" s="8" t="str">
        <f>HYPERLINK("http://slimages.macys.com/is/image/MCY/15815851 ")</f>
        <v xml:space="preserve">http://slimages.macys.com/is/image/MCY/15815851 </v>
      </c>
    </row>
    <row r="172" spans="1:12" ht="24.75" x14ac:dyDescent="0.25">
      <c r="A172" s="6" t="s">
        <v>937</v>
      </c>
      <c r="B172" s="3" t="s">
        <v>938</v>
      </c>
      <c r="C172" s="4">
        <v>1</v>
      </c>
      <c r="D172" s="5">
        <v>29.99</v>
      </c>
      <c r="E172" s="4" t="s">
        <v>939</v>
      </c>
      <c r="F172" s="3" t="s">
        <v>5783</v>
      </c>
      <c r="G172" s="7" t="s">
        <v>5656</v>
      </c>
      <c r="H172" s="3" t="s">
        <v>5862</v>
      </c>
      <c r="I172" s="3" t="s">
        <v>6204</v>
      </c>
      <c r="J172" s="3" t="s">
        <v>5536</v>
      </c>
      <c r="K172" s="3" t="s">
        <v>5727</v>
      </c>
      <c r="L172" s="8" t="str">
        <f>HYPERLINK("http://slimages.macys.com/is/image/MCY/15864820 ")</f>
        <v xml:space="preserve">http://slimages.macys.com/is/image/MCY/15864820 </v>
      </c>
    </row>
    <row r="173" spans="1:12" ht="24.75" x14ac:dyDescent="0.25">
      <c r="A173" s="6" t="s">
        <v>940</v>
      </c>
      <c r="B173" s="3" t="s">
        <v>941</v>
      </c>
      <c r="C173" s="4">
        <v>1</v>
      </c>
      <c r="D173" s="5">
        <v>55</v>
      </c>
      <c r="E173" s="4">
        <v>10006349200</v>
      </c>
      <c r="F173" s="3" t="s">
        <v>5540</v>
      </c>
      <c r="G173" s="7" t="s">
        <v>5582</v>
      </c>
      <c r="H173" s="3" t="s">
        <v>3941</v>
      </c>
      <c r="I173" s="3" t="s">
        <v>3942</v>
      </c>
      <c r="J173" s="3" t="s">
        <v>5536</v>
      </c>
      <c r="K173" s="3" t="s">
        <v>6610</v>
      </c>
      <c r="L173" s="8" t="str">
        <f>HYPERLINK("http://slimages.macys.com/is/image/MCY/14398924 ")</f>
        <v xml:space="preserve">http://slimages.macys.com/is/image/MCY/14398924 </v>
      </c>
    </row>
    <row r="174" spans="1:12" ht="36.75" x14ac:dyDescent="0.25">
      <c r="A174" s="6" t="s">
        <v>942</v>
      </c>
      <c r="B174" s="3" t="s">
        <v>943</v>
      </c>
      <c r="C174" s="4">
        <v>1</v>
      </c>
      <c r="D174" s="5">
        <v>36.54</v>
      </c>
      <c r="E174" s="4" t="s">
        <v>944</v>
      </c>
      <c r="F174" s="3" t="s">
        <v>5640</v>
      </c>
      <c r="G174" s="7" t="s">
        <v>5533</v>
      </c>
      <c r="H174" s="3" t="s">
        <v>6131</v>
      </c>
      <c r="I174" s="3" t="s">
        <v>3109</v>
      </c>
      <c r="J174" s="3" t="s">
        <v>5536</v>
      </c>
      <c r="K174" s="3" t="s">
        <v>945</v>
      </c>
      <c r="L174" s="8" t="str">
        <f>HYPERLINK("http://slimages.macys.com/is/image/MCY/12346146 ")</f>
        <v xml:space="preserve">http://slimages.macys.com/is/image/MCY/12346146 </v>
      </c>
    </row>
    <row r="175" spans="1:12" ht="36.75" x14ac:dyDescent="0.25">
      <c r="A175" s="6" t="s">
        <v>946</v>
      </c>
      <c r="B175" s="3" t="s">
        <v>947</v>
      </c>
      <c r="C175" s="4">
        <v>1</v>
      </c>
      <c r="D175" s="5">
        <v>36.54</v>
      </c>
      <c r="E175" s="4" t="s">
        <v>948</v>
      </c>
      <c r="F175" s="3" t="s">
        <v>5640</v>
      </c>
      <c r="G175" s="7" t="s">
        <v>6491</v>
      </c>
      <c r="H175" s="3" t="s">
        <v>6131</v>
      </c>
      <c r="I175" s="3" t="s">
        <v>3109</v>
      </c>
      <c r="J175" s="3" t="s">
        <v>5536</v>
      </c>
      <c r="K175" s="3" t="s">
        <v>949</v>
      </c>
      <c r="L175" s="8" t="str">
        <f>HYPERLINK("http://slimages.macys.com/is/image/MCY/3827154 ")</f>
        <v xml:space="preserve">http://slimages.macys.com/is/image/MCY/3827154 </v>
      </c>
    </row>
    <row r="176" spans="1:12" ht="24.75" x14ac:dyDescent="0.25">
      <c r="A176" s="6" t="s">
        <v>950</v>
      </c>
      <c r="B176" s="3" t="s">
        <v>951</v>
      </c>
      <c r="C176" s="4">
        <v>1</v>
      </c>
      <c r="D176" s="5">
        <v>25</v>
      </c>
      <c r="E176" s="4">
        <v>1329610</v>
      </c>
      <c r="F176" s="3" t="s">
        <v>5977</v>
      </c>
      <c r="G176" s="7" t="s">
        <v>5562</v>
      </c>
      <c r="H176" s="3" t="s">
        <v>5726</v>
      </c>
      <c r="I176" s="3" t="s">
        <v>5726</v>
      </c>
      <c r="J176" s="3" t="s">
        <v>5536</v>
      </c>
      <c r="K176" s="3" t="s">
        <v>5574</v>
      </c>
      <c r="L176" s="8" t="str">
        <f>HYPERLINK("http://slimages.macys.com/is/image/MCY/12820557 ")</f>
        <v xml:space="preserve">http://slimages.macys.com/is/image/MCY/12820557 </v>
      </c>
    </row>
    <row r="177" spans="1:12" ht="24.75" x14ac:dyDescent="0.25">
      <c r="A177" s="6" t="s">
        <v>952</v>
      </c>
      <c r="B177" s="3" t="s">
        <v>953</v>
      </c>
      <c r="C177" s="4">
        <v>1</v>
      </c>
      <c r="D177" s="5">
        <v>39.5</v>
      </c>
      <c r="E177" s="4">
        <v>100063671</v>
      </c>
      <c r="F177" s="3" t="s">
        <v>5540</v>
      </c>
      <c r="G177" s="7" t="s">
        <v>5598</v>
      </c>
      <c r="H177" s="3" t="s">
        <v>5585</v>
      </c>
      <c r="I177" s="3" t="s">
        <v>5734</v>
      </c>
      <c r="J177" s="3" t="s">
        <v>5536</v>
      </c>
      <c r="K177" s="3" t="s">
        <v>954</v>
      </c>
      <c r="L177" s="8" t="str">
        <f>HYPERLINK("http://slimages.macys.com/is/image/MCY/13890674 ")</f>
        <v xml:space="preserve">http://slimages.macys.com/is/image/MCY/13890674 </v>
      </c>
    </row>
    <row r="178" spans="1:12" x14ac:dyDescent="0.25">
      <c r="A178" s="6" t="s">
        <v>4020</v>
      </c>
      <c r="B178" s="3" t="s">
        <v>4017</v>
      </c>
      <c r="C178" s="4">
        <v>1</v>
      </c>
      <c r="D178" s="5">
        <v>39.99</v>
      </c>
      <c r="E178" s="4" t="s">
        <v>4018</v>
      </c>
      <c r="F178" s="3" t="s">
        <v>6335</v>
      </c>
      <c r="G178" s="7" t="s">
        <v>5562</v>
      </c>
      <c r="H178" s="3" t="s">
        <v>6003</v>
      </c>
      <c r="I178" s="3" t="s">
        <v>6004</v>
      </c>
      <c r="J178" s="3" t="s">
        <v>5536</v>
      </c>
      <c r="K178" s="3" t="s">
        <v>5574</v>
      </c>
      <c r="L178" s="8" t="str">
        <f>HYPERLINK("http://slimages.macys.com/is/image/MCY/16358251 ")</f>
        <v xml:space="preserve">http://slimages.macys.com/is/image/MCY/16358251 </v>
      </c>
    </row>
    <row r="179" spans="1:12" x14ac:dyDescent="0.25">
      <c r="A179" s="6" t="s">
        <v>4019</v>
      </c>
      <c r="B179" s="3" t="s">
        <v>4017</v>
      </c>
      <c r="C179" s="4">
        <v>1</v>
      </c>
      <c r="D179" s="5">
        <v>39.99</v>
      </c>
      <c r="E179" s="4" t="s">
        <v>4018</v>
      </c>
      <c r="F179" s="3" t="s">
        <v>6335</v>
      </c>
      <c r="G179" s="7" t="s">
        <v>5596</v>
      </c>
      <c r="H179" s="3" t="s">
        <v>6003</v>
      </c>
      <c r="I179" s="3" t="s">
        <v>6004</v>
      </c>
      <c r="J179" s="3" t="s">
        <v>5536</v>
      </c>
      <c r="K179" s="3" t="s">
        <v>5574</v>
      </c>
      <c r="L179" s="8" t="str">
        <f>HYPERLINK("http://slimages.macys.com/is/image/MCY/16358251 ")</f>
        <v xml:space="preserve">http://slimages.macys.com/is/image/MCY/16358251 </v>
      </c>
    </row>
    <row r="180" spans="1:12" ht="24.75" x14ac:dyDescent="0.25">
      <c r="A180" s="6" t="s">
        <v>955</v>
      </c>
      <c r="B180" s="3" t="s">
        <v>3723</v>
      </c>
      <c r="C180" s="4">
        <v>1</v>
      </c>
      <c r="D180" s="5">
        <v>30</v>
      </c>
      <c r="E180" s="4">
        <v>8101</v>
      </c>
      <c r="F180" s="3" t="s">
        <v>5793</v>
      </c>
      <c r="G180" s="7" t="s">
        <v>5533</v>
      </c>
      <c r="H180" s="3" t="s">
        <v>5794</v>
      </c>
      <c r="I180" s="3" t="s">
        <v>4325</v>
      </c>
      <c r="J180" s="3" t="s">
        <v>5536</v>
      </c>
      <c r="K180" s="3" t="s">
        <v>5594</v>
      </c>
      <c r="L180" s="8" t="str">
        <f>HYPERLINK("http://slimages.macys.com/is/image/MCY/14716530 ")</f>
        <v xml:space="preserve">http://slimages.macys.com/is/image/MCY/14716530 </v>
      </c>
    </row>
    <row r="181" spans="1:12" ht="24.75" x14ac:dyDescent="0.25">
      <c r="A181" s="6" t="s">
        <v>956</v>
      </c>
      <c r="B181" s="3" t="s">
        <v>3723</v>
      </c>
      <c r="C181" s="4">
        <v>1</v>
      </c>
      <c r="D181" s="5">
        <v>30</v>
      </c>
      <c r="E181" s="4">
        <v>8101</v>
      </c>
      <c r="F181" s="3" t="s">
        <v>6275</v>
      </c>
      <c r="G181" s="7" t="s">
        <v>5596</v>
      </c>
      <c r="H181" s="3" t="s">
        <v>5794</v>
      </c>
      <c r="I181" s="3" t="s">
        <v>4325</v>
      </c>
      <c r="J181" s="3" t="s">
        <v>5536</v>
      </c>
      <c r="K181" s="3" t="s">
        <v>5594</v>
      </c>
      <c r="L181" s="8" t="str">
        <f>HYPERLINK("http://slimages.macys.com/is/image/MCY/14716530 ")</f>
        <v xml:space="preserve">http://slimages.macys.com/is/image/MCY/14716530 </v>
      </c>
    </row>
    <row r="182" spans="1:12" ht="24.75" x14ac:dyDescent="0.25">
      <c r="A182" s="6" t="s">
        <v>957</v>
      </c>
      <c r="B182" s="3" t="s">
        <v>958</v>
      </c>
      <c r="C182" s="4">
        <v>1</v>
      </c>
      <c r="D182" s="5">
        <v>33.6</v>
      </c>
      <c r="E182" s="4">
        <v>75673</v>
      </c>
      <c r="F182" s="3" t="s">
        <v>5540</v>
      </c>
      <c r="G182" s="7" t="s">
        <v>5799</v>
      </c>
      <c r="H182" s="3" t="s">
        <v>6131</v>
      </c>
      <c r="I182" s="3" t="s">
        <v>4028</v>
      </c>
      <c r="J182" s="3" t="s">
        <v>5536</v>
      </c>
      <c r="K182" s="3" t="s">
        <v>6133</v>
      </c>
      <c r="L182" s="8" t="str">
        <f>HYPERLINK("http://slimages.macys.com/is/image/MCY/15432023 ")</f>
        <v xml:space="preserve">http://slimages.macys.com/is/image/MCY/15432023 </v>
      </c>
    </row>
    <row r="183" spans="1:12" x14ac:dyDescent="0.25">
      <c r="A183" s="6" t="s">
        <v>3111</v>
      </c>
      <c r="B183" s="3" t="s">
        <v>2286</v>
      </c>
      <c r="C183" s="4">
        <v>1</v>
      </c>
      <c r="D183" s="5">
        <v>44.99</v>
      </c>
      <c r="E183" s="4" t="s">
        <v>2287</v>
      </c>
      <c r="F183" s="3" t="s">
        <v>5540</v>
      </c>
      <c r="G183" s="7" t="s">
        <v>5562</v>
      </c>
      <c r="H183" s="3" t="s">
        <v>5978</v>
      </c>
      <c r="I183" s="3" t="s">
        <v>5991</v>
      </c>
      <c r="J183" s="3" t="s">
        <v>5536</v>
      </c>
      <c r="K183" s="3" t="s">
        <v>5549</v>
      </c>
      <c r="L183" s="8" t="str">
        <f>HYPERLINK("http://slimages.macys.com/is/image/MCY/15899521 ")</f>
        <v xml:space="preserve">http://slimages.macys.com/is/image/MCY/15899521 </v>
      </c>
    </row>
    <row r="184" spans="1:12" x14ac:dyDescent="0.25">
      <c r="A184" s="6" t="s">
        <v>959</v>
      </c>
      <c r="B184" s="3" t="s">
        <v>4033</v>
      </c>
      <c r="C184" s="4">
        <v>1</v>
      </c>
      <c r="D184" s="5">
        <v>49.99</v>
      </c>
      <c r="E184" s="4" t="s">
        <v>4034</v>
      </c>
      <c r="F184" s="3" t="s">
        <v>5625</v>
      </c>
      <c r="G184" s="7" t="s">
        <v>5598</v>
      </c>
      <c r="H184" s="3" t="s">
        <v>5978</v>
      </c>
      <c r="I184" s="3" t="s">
        <v>5979</v>
      </c>
      <c r="J184" s="3" t="s">
        <v>5536</v>
      </c>
      <c r="K184" s="3" t="s">
        <v>4035</v>
      </c>
      <c r="L184" s="8" t="str">
        <f>HYPERLINK("http://slimages.macys.com/is/image/MCY/15250451 ")</f>
        <v xml:space="preserve">http://slimages.macys.com/is/image/MCY/15250451 </v>
      </c>
    </row>
    <row r="185" spans="1:12" x14ac:dyDescent="0.25">
      <c r="A185" s="6" t="s">
        <v>960</v>
      </c>
      <c r="B185" s="3" t="s">
        <v>4033</v>
      </c>
      <c r="C185" s="4">
        <v>1</v>
      </c>
      <c r="D185" s="5">
        <v>49.99</v>
      </c>
      <c r="E185" s="4" t="s">
        <v>4034</v>
      </c>
      <c r="F185" s="3" t="s">
        <v>5540</v>
      </c>
      <c r="G185" s="7" t="s">
        <v>5562</v>
      </c>
      <c r="H185" s="3" t="s">
        <v>5978</v>
      </c>
      <c r="I185" s="3" t="s">
        <v>5979</v>
      </c>
      <c r="J185" s="3" t="s">
        <v>5536</v>
      </c>
      <c r="K185" s="3" t="s">
        <v>4035</v>
      </c>
      <c r="L185" s="8" t="str">
        <f>HYPERLINK("http://slimages.macys.com/is/image/MCY/15250451 ")</f>
        <v xml:space="preserve">http://slimages.macys.com/is/image/MCY/15250451 </v>
      </c>
    </row>
    <row r="186" spans="1:12" x14ac:dyDescent="0.25">
      <c r="A186" s="6" t="s">
        <v>961</v>
      </c>
      <c r="B186" s="3" t="s">
        <v>4033</v>
      </c>
      <c r="C186" s="4">
        <v>1</v>
      </c>
      <c r="D186" s="5">
        <v>49.99</v>
      </c>
      <c r="E186" s="4" t="s">
        <v>4034</v>
      </c>
      <c r="F186" s="3" t="s">
        <v>5625</v>
      </c>
      <c r="G186" s="7" t="s">
        <v>5560</v>
      </c>
      <c r="H186" s="3" t="s">
        <v>5978</v>
      </c>
      <c r="I186" s="3" t="s">
        <v>5979</v>
      </c>
      <c r="J186" s="3" t="s">
        <v>5536</v>
      </c>
      <c r="K186" s="3" t="s">
        <v>4035</v>
      </c>
      <c r="L186" s="8" t="str">
        <f>HYPERLINK("http://slimages.macys.com/is/image/MCY/15250451 ")</f>
        <v xml:space="preserve">http://slimages.macys.com/is/image/MCY/15250451 </v>
      </c>
    </row>
    <row r="187" spans="1:12" x14ac:dyDescent="0.25">
      <c r="A187" s="6" t="s">
        <v>4048</v>
      </c>
      <c r="B187" s="3" t="s">
        <v>4041</v>
      </c>
      <c r="C187" s="4">
        <v>1</v>
      </c>
      <c r="D187" s="5">
        <v>39.99</v>
      </c>
      <c r="E187" s="4" t="s">
        <v>4042</v>
      </c>
      <c r="F187" s="3" t="s">
        <v>4043</v>
      </c>
      <c r="G187" s="7" t="s">
        <v>5596</v>
      </c>
      <c r="H187" s="3" t="s">
        <v>6003</v>
      </c>
      <c r="I187" s="3" t="s">
        <v>6004</v>
      </c>
      <c r="J187" s="3" t="s">
        <v>5536</v>
      </c>
      <c r="K187" s="3" t="s">
        <v>6021</v>
      </c>
      <c r="L187" s="8" t="str">
        <f>HYPERLINK("http://slimages.macys.com/is/image/MCY/16328008 ")</f>
        <v xml:space="preserve">http://slimages.macys.com/is/image/MCY/16328008 </v>
      </c>
    </row>
    <row r="188" spans="1:12" x14ac:dyDescent="0.25">
      <c r="A188" s="6" t="s">
        <v>4047</v>
      </c>
      <c r="B188" s="3" t="s">
        <v>4045</v>
      </c>
      <c r="C188" s="4">
        <v>1</v>
      </c>
      <c r="D188" s="5">
        <v>39.99</v>
      </c>
      <c r="E188" s="4" t="s">
        <v>4046</v>
      </c>
      <c r="F188" s="3" t="s">
        <v>5578</v>
      </c>
      <c r="G188" s="7" t="s">
        <v>5562</v>
      </c>
      <c r="H188" s="3" t="s">
        <v>6003</v>
      </c>
      <c r="I188" s="3" t="s">
        <v>6004</v>
      </c>
      <c r="J188" s="3" t="s">
        <v>5536</v>
      </c>
      <c r="K188" s="3" t="s">
        <v>6021</v>
      </c>
      <c r="L188" s="8" t="str">
        <f>HYPERLINK("http://slimages.macys.com/is/image/MCY/16326304 ")</f>
        <v xml:space="preserve">http://slimages.macys.com/is/image/MCY/16326304 </v>
      </c>
    </row>
    <row r="189" spans="1:12" x14ac:dyDescent="0.25">
      <c r="A189" s="6" t="s">
        <v>4050</v>
      </c>
      <c r="B189" s="3" t="s">
        <v>4045</v>
      </c>
      <c r="C189" s="4">
        <v>1</v>
      </c>
      <c r="D189" s="5">
        <v>39.99</v>
      </c>
      <c r="E189" s="4" t="s">
        <v>4046</v>
      </c>
      <c r="F189" s="3" t="s">
        <v>5578</v>
      </c>
      <c r="G189" s="7" t="s">
        <v>5533</v>
      </c>
      <c r="H189" s="3" t="s">
        <v>6003</v>
      </c>
      <c r="I189" s="3" t="s">
        <v>6004</v>
      </c>
      <c r="J189" s="3" t="s">
        <v>5536</v>
      </c>
      <c r="K189" s="3" t="s">
        <v>6021</v>
      </c>
      <c r="L189" s="8" t="str">
        <f>HYPERLINK("http://slimages.macys.com/is/image/MCY/16326304 ")</f>
        <v xml:space="preserve">http://slimages.macys.com/is/image/MCY/16326304 </v>
      </c>
    </row>
    <row r="190" spans="1:12" x14ac:dyDescent="0.25">
      <c r="A190" s="6" t="s">
        <v>4040</v>
      </c>
      <c r="B190" s="3" t="s">
        <v>4041</v>
      </c>
      <c r="C190" s="4">
        <v>1</v>
      </c>
      <c r="D190" s="5">
        <v>39.99</v>
      </c>
      <c r="E190" s="4" t="s">
        <v>4042</v>
      </c>
      <c r="F190" s="3" t="s">
        <v>4043</v>
      </c>
      <c r="G190" s="7" t="s">
        <v>5560</v>
      </c>
      <c r="H190" s="3" t="s">
        <v>6003</v>
      </c>
      <c r="I190" s="3" t="s">
        <v>6004</v>
      </c>
      <c r="J190" s="3" t="s">
        <v>5536</v>
      </c>
      <c r="K190" s="3" t="s">
        <v>6021</v>
      </c>
      <c r="L190" s="8" t="str">
        <f>HYPERLINK("http://slimages.macys.com/is/image/MCY/16328008 ")</f>
        <v xml:space="preserve">http://slimages.macys.com/is/image/MCY/16328008 </v>
      </c>
    </row>
    <row r="191" spans="1:12" x14ac:dyDescent="0.25">
      <c r="A191" s="6" t="s">
        <v>962</v>
      </c>
      <c r="B191" s="3" t="s">
        <v>4041</v>
      </c>
      <c r="C191" s="4">
        <v>1</v>
      </c>
      <c r="D191" s="5">
        <v>39.99</v>
      </c>
      <c r="E191" s="4" t="s">
        <v>4042</v>
      </c>
      <c r="F191" s="3" t="s">
        <v>4043</v>
      </c>
      <c r="G191" s="7" t="s">
        <v>5562</v>
      </c>
      <c r="H191" s="3" t="s">
        <v>6003</v>
      </c>
      <c r="I191" s="3" t="s">
        <v>6004</v>
      </c>
      <c r="J191" s="3" t="s">
        <v>5536</v>
      </c>
      <c r="K191" s="3" t="s">
        <v>6021</v>
      </c>
      <c r="L191" s="8" t="str">
        <f>HYPERLINK("http://slimages.macys.com/is/image/MCY/16328008 ")</f>
        <v xml:space="preserve">http://slimages.macys.com/is/image/MCY/16328008 </v>
      </c>
    </row>
    <row r="192" spans="1:12" ht="24.75" x14ac:dyDescent="0.25">
      <c r="A192" s="6" t="s">
        <v>963</v>
      </c>
      <c r="B192" s="3" t="s">
        <v>964</v>
      </c>
      <c r="C192" s="4">
        <v>1</v>
      </c>
      <c r="D192" s="5">
        <v>28</v>
      </c>
      <c r="E192" s="4" t="s">
        <v>965</v>
      </c>
      <c r="F192" s="3" t="s">
        <v>6075</v>
      </c>
      <c r="G192" s="7" t="s">
        <v>5562</v>
      </c>
      <c r="H192" s="3" t="s">
        <v>7152</v>
      </c>
      <c r="I192" s="3" t="s">
        <v>966</v>
      </c>
      <c r="J192" s="3" t="s">
        <v>5536</v>
      </c>
      <c r="K192" s="3" t="s">
        <v>967</v>
      </c>
      <c r="L192" s="8" t="str">
        <f>HYPERLINK("http://slimages.macys.com/is/image/MCY/14572588 ")</f>
        <v xml:space="preserve">http://slimages.macys.com/is/image/MCY/14572588 </v>
      </c>
    </row>
    <row r="193" spans="1:12" x14ac:dyDescent="0.25">
      <c r="A193" s="6" t="s">
        <v>4841</v>
      </c>
      <c r="B193" s="3" t="s">
        <v>6149</v>
      </c>
      <c r="C193" s="4">
        <v>1</v>
      </c>
      <c r="D193" s="5">
        <v>44.99</v>
      </c>
      <c r="E193" s="4" t="s">
        <v>6150</v>
      </c>
      <c r="F193" s="3" t="s">
        <v>5610</v>
      </c>
      <c r="G193" s="7" t="s">
        <v>5562</v>
      </c>
      <c r="H193" s="3" t="s">
        <v>5978</v>
      </c>
      <c r="I193" s="3" t="s">
        <v>5979</v>
      </c>
      <c r="J193" s="3" t="s">
        <v>5536</v>
      </c>
      <c r="K193" s="3" t="s">
        <v>5574</v>
      </c>
      <c r="L193" s="8" t="str">
        <f>HYPERLINK("http://slimages.macys.com/is/image/MCY/15571655 ")</f>
        <v xml:space="preserve">http://slimages.macys.com/is/image/MCY/15571655 </v>
      </c>
    </row>
    <row r="194" spans="1:12" ht="24.75" x14ac:dyDescent="0.25">
      <c r="A194" s="6" t="s">
        <v>968</v>
      </c>
      <c r="B194" s="3" t="s">
        <v>4843</v>
      </c>
      <c r="C194" s="4">
        <v>2</v>
      </c>
      <c r="D194" s="5">
        <v>89.98</v>
      </c>
      <c r="E194" s="4" t="s">
        <v>4844</v>
      </c>
      <c r="F194" s="3" t="s">
        <v>5820</v>
      </c>
      <c r="G194" s="7" t="s">
        <v>5562</v>
      </c>
      <c r="H194" s="3" t="s">
        <v>5978</v>
      </c>
      <c r="I194" s="3" t="s">
        <v>5979</v>
      </c>
      <c r="J194" s="3" t="s">
        <v>5536</v>
      </c>
      <c r="K194" s="3" t="s">
        <v>5574</v>
      </c>
      <c r="L194" s="8" t="str">
        <f>HYPERLINK("http://slimages.macys.com/is/image/MCY/15895350 ")</f>
        <v xml:space="preserve">http://slimages.macys.com/is/image/MCY/15895350 </v>
      </c>
    </row>
    <row r="195" spans="1:12" x14ac:dyDescent="0.25">
      <c r="A195" s="6" t="s">
        <v>969</v>
      </c>
      <c r="B195" s="3" t="s">
        <v>970</v>
      </c>
      <c r="C195" s="4">
        <v>1</v>
      </c>
      <c r="D195" s="5">
        <v>38</v>
      </c>
      <c r="E195" s="4" t="s">
        <v>971</v>
      </c>
      <c r="F195" s="3" t="s">
        <v>5540</v>
      </c>
      <c r="G195" s="7" t="s">
        <v>972</v>
      </c>
      <c r="H195" s="3" t="s">
        <v>6131</v>
      </c>
      <c r="I195" s="3" t="s">
        <v>6204</v>
      </c>
      <c r="J195" s="3" t="s">
        <v>5536</v>
      </c>
      <c r="K195" s="3" t="s">
        <v>6133</v>
      </c>
      <c r="L195" s="8" t="str">
        <f>HYPERLINK("http://slimages.macys.com/is/image/MCY/9258492 ")</f>
        <v xml:space="preserve">http://slimages.macys.com/is/image/MCY/9258492 </v>
      </c>
    </row>
    <row r="196" spans="1:12" x14ac:dyDescent="0.25">
      <c r="A196" s="6" t="s">
        <v>4051</v>
      </c>
      <c r="B196" s="3" t="s">
        <v>4052</v>
      </c>
      <c r="C196" s="4">
        <v>1</v>
      </c>
      <c r="D196" s="5">
        <v>42.99</v>
      </c>
      <c r="E196" s="4" t="s">
        <v>4053</v>
      </c>
      <c r="F196" s="3" t="s">
        <v>5540</v>
      </c>
      <c r="G196" s="7" t="s">
        <v>5560</v>
      </c>
      <c r="H196" s="3" t="s">
        <v>6003</v>
      </c>
      <c r="I196" s="3" t="s">
        <v>6004</v>
      </c>
      <c r="J196" s="3" t="s">
        <v>5536</v>
      </c>
      <c r="K196" s="3" t="s">
        <v>6071</v>
      </c>
      <c r="L196" s="8" t="str">
        <f t="shared" ref="L196:L204" si="1">HYPERLINK("http://slimages.macys.com/is/image/MCY/10150497 ")</f>
        <v xml:space="preserve">http://slimages.macys.com/is/image/MCY/10150497 </v>
      </c>
    </row>
    <row r="197" spans="1:12" x14ac:dyDescent="0.25">
      <c r="A197" s="6" t="s">
        <v>973</v>
      </c>
      <c r="B197" s="3" t="s">
        <v>4052</v>
      </c>
      <c r="C197" s="4">
        <v>1</v>
      </c>
      <c r="D197" s="5">
        <v>42.99</v>
      </c>
      <c r="E197" s="4" t="s">
        <v>4053</v>
      </c>
      <c r="F197" s="3" t="s">
        <v>5578</v>
      </c>
      <c r="G197" s="7" t="s">
        <v>5560</v>
      </c>
      <c r="H197" s="3" t="s">
        <v>6003</v>
      </c>
      <c r="I197" s="3" t="s">
        <v>6004</v>
      </c>
      <c r="J197" s="3" t="s">
        <v>5536</v>
      </c>
      <c r="K197" s="3" t="s">
        <v>6071</v>
      </c>
      <c r="L197" s="8" t="str">
        <f t="shared" si="1"/>
        <v xml:space="preserve">http://slimages.macys.com/is/image/MCY/10150497 </v>
      </c>
    </row>
    <row r="198" spans="1:12" x14ac:dyDescent="0.25">
      <c r="A198" s="6" t="s">
        <v>4055</v>
      </c>
      <c r="B198" s="3" t="s">
        <v>4052</v>
      </c>
      <c r="C198" s="4">
        <v>1</v>
      </c>
      <c r="D198" s="5">
        <v>42.99</v>
      </c>
      <c r="E198" s="4" t="s">
        <v>4053</v>
      </c>
      <c r="F198" s="3" t="s">
        <v>5540</v>
      </c>
      <c r="G198" s="7" t="s">
        <v>5598</v>
      </c>
      <c r="H198" s="3" t="s">
        <v>6003</v>
      </c>
      <c r="I198" s="3" t="s">
        <v>6004</v>
      </c>
      <c r="J198" s="3" t="s">
        <v>5536</v>
      </c>
      <c r="K198" s="3" t="s">
        <v>6071</v>
      </c>
      <c r="L198" s="8" t="str">
        <f t="shared" si="1"/>
        <v xml:space="preserve">http://slimages.macys.com/is/image/MCY/10150497 </v>
      </c>
    </row>
    <row r="199" spans="1:12" x14ac:dyDescent="0.25">
      <c r="A199" s="6" t="s">
        <v>974</v>
      </c>
      <c r="B199" s="3" t="s">
        <v>4052</v>
      </c>
      <c r="C199" s="4">
        <v>1</v>
      </c>
      <c r="D199" s="5">
        <v>42.99</v>
      </c>
      <c r="E199" s="4" t="s">
        <v>4053</v>
      </c>
      <c r="F199" s="3" t="s">
        <v>5540</v>
      </c>
      <c r="G199" s="7" t="s">
        <v>5582</v>
      </c>
      <c r="H199" s="3" t="s">
        <v>6003</v>
      </c>
      <c r="I199" s="3" t="s">
        <v>6004</v>
      </c>
      <c r="J199" s="3" t="s">
        <v>5536</v>
      </c>
      <c r="K199" s="3" t="s">
        <v>6071</v>
      </c>
      <c r="L199" s="8" t="str">
        <f t="shared" si="1"/>
        <v xml:space="preserve">http://slimages.macys.com/is/image/MCY/10150497 </v>
      </c>
    </row>
    <row r="200" spans="1:12" x14ac:dyDescent="0.25">
      <c r="A200" s="6" t="s">
        <v>975</v>
      </c>
      <c r="B200" s="3" t="s">
        <v>4052</v>
      </c>
      <c r="C200" s="4">
        <v>1</v>
      </c>
      <c r="D200" s="5">
        <v>42.99</v>
      </c>
      <c r="E200" s="4" t="s">
        <v>4053</v>
      </c>
      <c r="F200" s="3" t="s">
        <v>5578</v>
      </c>
      <c r="G200" s="7" t="s">
        <v>5533</v>
      </c>
      <c r="H200" s="3" t="s">
        <v>6003</v>
      </c>
      <c r="I200" s="3" t="s">
        <v>6004</v>
      </c>
      <c r="J200" s="3" t="s">
        <v>5536</v>
      </c>
      <c r="K200" s="3" t="s">
        <v>6071</v>
      </c>
      <c r="L200" s="8" t="str">
        <f t="shared" si="1"/>
        <v xml:space="preserve">http://slimages.macys.com/is/image/MCY/10150497 </v>
      </c>
    </row>
    <row r="201" spans="1:12" ht="24.75" x14ac:dyDescent="0.25">
      <c r="A201" s="6" t="s">
        <v>976</v>
      </c>
      <c r="B201" s="3" t="s">
        <v>4052</v>
      </c>
      <c r="C201" s="4">
        <v>1</v>
      </c>
      <c r="D201" s="5">
        <v>42.99</v>
      </c>
      <c r="E201" s="4" t="s">
        <v>4053</v>
      </c>
      <c r="F201" s="3" t="s">
        <v>6410</v>
      </c>
      <c r="G201" s="7" t="s">
        <v>5598</v>
      </c>
      <c r="H201" s="3" t="s">
        <v>6003</v>
      </c>
      <c r="I201" s="3" t="s">
        <v>6004</v>
      </c>
      <c r="J201" s="3" t="s">
        <v>5536</v>
      </c>
      <c r="K201" s="3" t="s">
        <v>6071</v>
      </c>
      <c r="L201" s="8" t="str">
        <f t="shared" si="1"/>
        <v xml:space="preserve">http://slimages.macys.com/is/image/MCY/10150497 </v>
      </c>
    </row>
    <row r="202" spans="1:12" x14ac:dyDescent="0.25">
      <c r="A202" s="6" t="s">
        <v>977</v>
      </c>
      <c r="B202" s="3" t="s">
        <v>4052</v>
      </c>
      <c r="C202" s="4">
        <v>1</v>
      </c>
      <c r="D202" s="5">
        <v>42.99</v>
      </c>
      <c r="E202" s="4" t="s">
        <v>4053</v>
      </c>
      <c r="F202" s="3" t="s">
        <v>5578</v>
      </c>
      <c r="G202" s="7" t="s">
        <v>5598</v>
      </c>
      <c r="H202" s="3" t="s">
        <v>6003</v>
      </c>
      <c r="I202" s="3" t="s">
        <v>6004</v>
      </c>
      <c r="J202" s="3" t="s">
        <v>5536</v>
      </c>
      <c r="K202" s="3" t="s">
        <v>6071</v>
      </c>
      <c r="L202" s="8" t="str">
        <f t="shared" si="1"/>
        <v xml:space="preserve">http://slimages.macys.com/is/image/MCY/10150497 </v>
      </c>
    </row>
    <row r="203" spans="1:12" x14ac:dyDescent="0.25">
      <c r="A203" s="6" t="s">
        <v>978</v>
      </c>
      <c r="B203" s="3" t="s">
        <v>4052</v>
      </c>
      <c r="C203" s="4">
        <v>4</v>
      </c>
      <c r="D203" s="5">
        <v>171.96</v>
      </c>
      <c r="E203" s="4" t="s">
        <v>4053</v>
      </c>
      <c r="F203" s="3" t="s">
        <v>5540</v>
      </c>
      <c r="G203" s="7" t="s">
        <v>5560</v>
      </c>
      <c r="H203" s="3" t="s">
        <v>6003</v>
      </c>
      <c r="I203" s="3" t="s">
        <v>6004</v>
      </c>
      <c r="J203" s="3" t="s">
        <v>5536</v>
      </c>
      <c r="K203" s="3" t="s">
        <v>6071</v>
      </c>
      <c r="L203" s="8" t="str">
        <f t="shared" si="1"/>
        <v xml:space="preserve">http://slimages.macys.com/is/image/MCY/10150497 </v>
      </c>
    </row>
    <row r="204" spans="1:12" x14ac:dyDescent="0.25">
      <c r="A204" s="6" t="s">
        <v>979</v>
      </c>
      <c r="B204" s="3" t="s">
        <v>4052</v>
      </c>
      <c r="C204" s="4">
        <v>1</v>
      </c>
      <c r="D204" s="5">
        <v>42.99</v>
      </c>
      <c r="E204" s="4" t="s">
        <v>4053</v>
      </c>
      <c r="F204" s="3" t="s">
        <v>5540</v>
      </c>
      <c r="G204" s="7" t="s">
        <v>5598</v>
      </c>
      <c r="H204" s="3" t="s">
        <v>6003</v>
      </c>
      <c r="I204" s="3" t="s">
        <v>6004</v>
      </c>
      <c r="J204" s="3" t="s">
        <v>5536</v>
      </c>
      <c r="K204" s="3" t="s">
        <v>6071</v>
      </c>
      <c r="L204" s="8" t="str">
        <f t="shared" si="1"/>
        <v xml:space="preserve">http://slimages.macys.com/is/image/MCY/10150497 </v>
      </c>
    </row>
    <row r="205" spans="1:12" x14ac:dyDescent="0.25">
      <c r="A205" s="6" t="s">
        <v>6151</v>
      </c>
      <c r="B205" s="3" t="s">
        <v>6152</v>
      </c>
      <c r="C205" s="4">
        <v>1</v>
      </c>
      <c r="D205" s="5">
        <v>69.5</v>
      </c>
      <c r="E205" s="4">
        <v>100088385</v>
      </c>
      <c r="F205" s="3" t="s">
        <v>5540</v>
      </c>
      <c r="G205" s="7" t="s">
        <v>5533</v>
      </c>
      <c r="H205" s="3" t="s">
        <v>5585</v>
      </c>
      <c r="I205" s="3" t="s">
        <v>5586</v>
      </c>
      <c r="J205" s="3" t="s">
        <v>5536</v>
      </c>
      <c r="K205" s="3" t="s">
        <v>6153</v>
      </c>
      <c r="L205" s="8" t="str">
        <f>HYPERLINK("http://slimages.macys.com/is/image/MCY/15669142 ")</f>
        <v xml:space="preserve">http://slimages.macys.com/is/image/MCY/15669142 </v>
      </c>
    </row>
    <row r="206" spans="1:12" ht="24.75" x14ac:dyDescent="0.25">
      <c r="A206" s="6" t="s">
        <v>980</v>
      </c>
      <c r="B206" s="3" t="s">
        <v>3127</v>
      </c>
      <c r="C206" s="4">
        <v>1</v>
      </c>
      <c r="D206" s="5">
        <v>59.5</v>
      </c>
      <c r="E206" s="4" t="s">
        <v>3128</v>
      </c>
      <c r="F206" s="3" t="s">
        <v>6146</v>
      </c>
      <c r="G206" s="7" t="s">
        <v>5656</v>
      </c>
      <c r="H206" s="3" t="s">
        <v>5585</v>
      </c>
      <c r="I206" s="3" t="s">
        <v>5586</v>
      </c>
      <c r="J206" s="3" t="s">
        <v>5536</v>
      </c>
      <c r="K206" s="3" t="s">
        <v>3129</v>
      </c>
      <c r="L206" s="8" t="str">
        <f>HYPERLINK("http://slimages.macys.com/is/image/MCY/8143142 ")</f>
        <v xml:space="preserve">http://slimages.macys.com/is/image/MCY/8143142 </v>
      </c>
    </row>
    <row r="207" spans="1:12" x14ac:dyDescent="0.25">
      <c r="A207" s="6" t="s">
        <v>981</v>
      </c>
      <c r="B207" s="3" t="s">
        <v>6189</v>
      </c>
      <c r="C207" s="4">
        <v>1</v>
      </c>
      <c r="D207" s="5">
        <v>19.989999999999998</v>
      </c>
      <c r="E207" s="4" t="s">
        <v>6190</v>
      </c>
      <c r="F207" s="3" t="s">
        <v>5783</v>
      </c>
      <c r="G207" s="7" t="s">
        <v>5562</v>
      </c>
      <c r="H207" s="3" t="s">
        <v>5606</v>
      </c>
      <c r="I207" s="3" t="s">
        <v>5914</v>
      </c>
      <c r="J207" s="3" t="s">
        <v>5536</v>
      </c>
      <c r="K207" s="3" t="s">
        <v>5574</v>
      </c>
      <c r="L207" s="8" t="str">
        <f>HYPERLINK("http://slimages.macys.com/is/image/MCY/14907487 ")</f>
        <v xml:space="preserve">http://slimages.macys.com/is/image/MCY/14907487 </v>
      </c>
    </row>
    <row r="208" spans="1:12" x14ac:dyDescent="0.25">
      <c r="A208" s="6" t="s">
        <v>982</v>
      </c>
      <c r="B208" s="3" t="s">
        <v>6189</v>
      </c>
      <c r="C208" s="4">
        <v>1</v>
      </c>
      <c r="D208" s="5">
        <v>19.989999999999998</v>
      </c>
      <c r="E208" s="4" t="s">
        <v>6190</v>
      </c>
      <c r="F208" s="3" t="s">
        <v>5640</v>
      </c>
      <c r="G208" s="7" t="s">
        <v>5596</v>
      </c>
      <c r="H208" s="3" t="s">
        <v>5606</v>
      </c>
      <c r="I208" s="3" t="s">
        <v>5914</v>
      </c>
      <c r="J208" s="3" t="s">
        <v>5536</v>
      </c>
      <c r="K208" s="3" t="s">
        <v>5574</v>
      </c>
      <c r="L208" s="8" t="str">
        <f>HYPERLINK("http://slimages.macys.com/is/image/MCY/14907487 ")</f>
        <v xml:space="preserve">http://slimages.macys.com/is/image/MCY/14907487 </v>
      </c>
    </row>
    <row r="209" spans="1:12" x14ac:dyDescent="0.25">
      <c r="A209" s="6" t="s">
        <v>983</v>
      </c>
      <c r="B209" s="3" t="s">
        <v>4079</v>
      </c>
      <c r="C209" s="4">
        <v>1</v>
      </c>
      <c r="D209" s="5">
        <v>34.99</v>
      </c>
      <c r="E209" s="4" t="s">
        <v>4080</v>
      </c>
      <c r="F209" s="3" t="s">
        <v>5552</v>
      </c>
      <c r="G209" s="7" t="s">
        <v>5533</v>
      </c>
      <c r="H209" s="3" t="s">
        <v>6065</v>
      </c>
      <c r="I209" s="3" t="s">
        <v>6066</v>
      </c>
      <c r="J209" s="3" t="s">
        <v>5536</v>
      </c>
      <c r="K209" s="3" t="s">
        <v>7165</v>
      </c>
      <c r="L209" s="8" t="str">
        <f>HYPERLINK("http://slimages.macys.com/is/image/MCY/13906357 ")</f>
        <v xml:space="preserve">http://slimages.macys.com/is/image/MCY/13906357 </v>
      </c>
    </row>
    <row r="210" spans="1:12" ht="24.75" x14ac:dyDescent="0.25">
      <c r="A210" s="6" t="s">
        <v>984</v>
      </c>
      <c r="B210" s="3" t="s">
        <v>4092</v>
      </c>
      <c r="C210" s="4">
        <v>1</v>
      </c>
      <c r="D210" s="5">
        <v>65</v>
      </c>
      <c r="E210" s="4">
        <v>100082393</v>
      </c>
      <c r="F210" s="3" t="s">
        <v>4043</v>
      </c>
      <c r="G210" s="7" t="s">
        <v>5733</v>
      </c>
      <c r="H210" s="3" t="s">
        <v>5585</v>
      </c>
      <c r="I210" s="3" t="s">
        <v>5734</v>
      </c>
      <c r="J210" s="3" t="s">
        <v>5536</v>
      </c>
      <c r="K210" s="3" t="s">
        <v>5549</v>
      </c>
      <c r="L210" s="8" t="str">
        <f t="shared" ref="L210:L215" si="2">HYPERLINK("http://slimages.macys.com/is/image/MCY/15889019 ")</f>
        <v xml:space="preserve">http://slimages.macys.com/is/image/MCY/15889019 </v>
      </c>
    </row>
    <row r="211" spans="1:12" x14ac:dyDescent="0.25">
      <c r="A211" s="6" t="s">
        <v>985</v>
      </c>
      <c r="B211" s="3" t="s">
        <v>4092</v>
      </c>
      <c r="C211" s="4">
        <v>1</v>
      </c>
      <c r="D211" s="5">
        <v>65</v>
      </c>
      <c r="E211" s="4">
        <v>100082393</v>
      </c>
      <c r="F211" s="3" t="s">
        <v>4043</v>
      </c>
      <c r="G211" s="7" t="s">
        <v>5562</v>
      </c>
      <c r="H211" s="3" t="s">
        <v>5585</v>
      </c>
      <c r="I211" s="3" t="s">
        <v>5734</v>
      </c>
      <c r="J211" s="3" t="s">
        <v>5536</v>
      </c>
      <c r="K211" s="3" t="s">
        <v>5549</v>
      </c>
      <c r="L211" s="8" t="str">
        <f t="shared" si="2"/>
        <v xml:space="preserve">http://slimages.macys.com/is/image/MCY/15889019 </v>
      </c>
    </row>
    <row r="212" spans="1:12" x14ac:dyDescent="0.25">
      <c r="A212" s="6" t="s">
        <v>986</v>
      </c>
      <c r="B212" s="3" t="s">
        <v>4092</v>
      </c>
      <c r="C212" s="4">
        <v>1</v>
      </c>
      <c r="D212" s="5">
        <v>65</v>
      </c>
      <c r="E212" s="4">
        <v>100082393</v>
      </c>
      <c r="F212" s="3" t="s">
        <v>4043</v>
      </c>
      <c r="G212" s="7" t="s">
        <v>5582</v>
      </c>
      <c r="H212" s="3" t="s">
        <v>5585</v>
      </c>
      <c r="I212" s="3" t="s">
        <v>5734</v>
      </c>
      <c r="J212" s="3" t="s">
        <v>5536</v>
      </c>
      <c r="K212" s="3" t="s">
        <v>5549</v>
      </c>
      <c r="L212" s="8" t="str">
        <f t="shared" si="2"/>
        <v xml:space="preserve">http://slimages.macys.com/is/image/MCY/15889019 </v>
      </c>
    </row>
    <row r="213" spans="1:12" x14ac:dyDescent="0.25">
      <c r="A213" s="6" t="s">
        <v>4091</v>
      </c>
      <c r="B213" s="3" t="s">
        <v>4092</v>
      </c>
      <c r="C213" s="4">
        <v>2</v>
      </c>
      <c r="D213" s="5">
        <v>130</v>
      </c>
      <c r="E213" s="4">
        <v>100082393</v>
      </c>
      <c r="F213" s="3" t="s">
        <v>4043</v>
      </c>
      <c r="G213" s="7" t="s">
        <v>5533</v>
      </c>
      <c r="H213" s="3" t="s">
        <v>5585</v>
      </c>
      <c r="I213" s="3" t="s">
        <v>5734</v>
      </c>
      <c r="J213" s="3" t="s">
        <v>5536</v>
      </c>
      <c r="K213" s="3" t="s">
        <v>5549</v>
      </c>
      <c r="L213" s="8" t="str">
        <f t="shared" si="2"/>
        <v xml:space="preserve">http://slimages.macys.com/is/image/MCY/15889019 </v>
      </c>
    </row>
    <row r="214" spans="1:12" x14ac:dyDescent="0.25">
      <c r="A214" s="6" t="s">
        <v>987</v>
      </c>
      <c r="B214" s="3" t="s">
        <v>4092</v>
      </c>
      <c r="C214" s="4">
        <v>1</v>
      </c>
      <c r="D214" s="5">
        <v>65</v>
      </c>
      <c r="E214" s="4">
        <v>100082393</v>
      </c>
      <c r="F214" s="3" t="s">
        <v>4043</v>
      </c>
      <c r="G214" s="7" t="s">
        <v>5560</v>
      </c>
      <c r="H214" s="3" t="s">
        <v>5585</v>
      </c>
      <c r="I214" s="3" t="s">
        <v>5734</v>
      </c>
      <c r="J214" s="3" t="s">
        <v>5536</v>
      </c>
      <c r="K214" s="3" t="s">
        <v>5549</v>
      </c>
      <c r="L214" s="8" t="str">
        <f t="shared" si="2"/>
        <v xml:space="preserve">http://slimages.macys.com/is/image/MCY/15889019 </v>
      </c>
    </row>
    <row r="215" spans="1:12" x14ac:dyDescent="0.25">
      <c r="A215" s="6" t="s">
        <v>988</v>
      </c>
      <c r="B215" s="3" t="s">
        <v>4092</v>
      </c>
      <c r="C215" s="4">
        <v>1</v>
      </c>
      <c r="D215" s="5">
        <v>65</v>
      </c>
      <c r="E215" s="4">
        <v>100082393</v>
      </c>
      <c r="F215" s="3" t="s">
        <v>4043</v>
      </c>
      <c r="G215" s="7" t="s">
        <v>5598</v>
      </c>
      <c r="H215" s="3" t="s">
        <v>5585</v>
      </c>
      <c r="I215" s="3" t="s">
        <v>5734</v>
      </c>
      <c r="J215" s="3" t="s">
        <v>5536</v>
      </c>
      <c r="K215" s="3" t="s">
        <v>5549</v>
      </c>
      <c r="L215" s="8" t="str">
        <f t="shared" si="2"/>
        <v xml:space="preserve">http://slimages.macys.com/is/image/MCY/15889019 </v>
      </c>
    </row>
    <row r="216" spans="1:12" ht="24.75" x14ac:dyDescent="0.25">
      <c r="A216" s="6" t="s">
        <v>989</v>
      </c>
      <c r="B216" s="3" t="s">
        <v>990</v>
      </c>
      <c r="C216" s="4">
        <v>1</v>
      </c>
      <c r="D216" s="5">
        <v>25</v>
      </c>
      <c r="E216" s="4" t="s">
        <v>991</v>
      </c>
      <c r="F216" s="3" t="s">
        <v>5532</v>
      </c>
      <c r="G216" s="7" t="s">
        <v>5562</v>
      </c>
      <c r="H216" s="3" t="s">
        <v>7152</v>
      </c>
      <c r="I216" s="3" t="s">
        <v>4039</v>
      </c>
      <c r="J216" s="3" t="s">
        <v>5536</v>
      </c>
      <c r="K216" s="3" t="s">
        <v>5594</v>
      </c>
      <c r="L216" s="8" t="str">
        <f>HYPERLINK("http://slimages.macys.com/is/image/MCY/12801752 ")</f>
        <v xml:space="preserve">http://slimages.macys.com/is/image/MCY/12801752 </v>
      </c>
    </row>
    <row r="217" spans="1:12" ht="24.75" x14ac:dyDescent="0.25">
      <c r="A217" s="6" t="s">
        <v>992</v>
      </c>
      <c r="B217" s="3" t="s">
        <v>2345</v>
      </c>
      <c r="C217" s="4">
        <v>1</v>
      </c>
      <c r="D217" s="5">
        <v>39.99</v>
      </c>
      <c r="E217" s="4" t="s">
        <v>2346</v>
      </c>
      <c r="F217" s="3" t="s">
        <v>5811</v>
      </c>
      <c r="G217" s="7" t="s">
        <v>5560</v>
      </c>
      <c r="H217" s="3" t="s">
        <v>6003</v>
      </c>
      <c r="I217" s="3" t="s">
        <v>6004</v>
      </c>
      <c r="J217" s="3" t="s">
        <v>5536</v>
      </c>
      <c r="K217" s="3" t="s">
        <v>2347</v>
      </c>
      <c r="L217" s="8" t="str">
        <f>HYPERLINK("http://slimages.macys.com/is/image/MCY/14336141 ")</f>
        <v xml:space="preserve">http://slimages.macys.com/is/image/MCY/14336141 </v>
      </c>
    </row>
    <row r="218" spans="1:12" ht="24.75" x14ac:dyDescent="0.25">
      <c r="A218" s="6" t="s">
        <v>993</v>
      </c>
      <c r="B218" s="3" t="s">
        <v>994</v>
      </c>
      <c r="C218" s="4">
        <v>1</v>
      </c>
      <c r="D218" s="5">
        <v>17.989999999999998</v>
      </c>
      <c r="E218" s="4" t="s">
        <v>995</v>
      </c>
      <c r="F218" s="3" t="s">
        <v>5616</v>
      </c>
      <c r="G218" s="7" t="s">
        <v>5596</v>
      </c>
      <c r="H218" s="3" t="s">
        <v>5606</v>
      </c>
      <c r="I218" s="3" t="s">
        <v>5914</v>
      </c>
      <c r="J218" s="3" t="s">
        <v>5536</v>
      </c>
      <c r="K218" s="3" t="s">
        <v>5594</v>
      </c>
      <c r="L218" s="8" t="str">
        <f>HYPERLINK("http://slimages.macys.com/is/image/MCY/14580232 ")</f>
        <v xml:space="preserve">http://slimages.macys.com/is/image/MCY/14580232 </v>
      </c>
    </row>
    <row r="219" spans="1:12" x14ac:dyDescent="0.25">
      <c r="A219" s="6" t="s">
        <v>996</v>
      </c>
      <c r="B219" s="3" t="s">
        <v>6247</v>
      </c>
      <c r="C219" s="4">
        <v>1</v>
      </c>
      <c r="D219" s="5">
        <v>39.99</v>
      </c>
      <c r="E219" s="4" t="s">
        <v>6248</v>
      </c>
      <c r="F219" s="3" t="s">
        <v>5578</v>
      </c>
      <c r="G219" s="7" t="s">
        <v>5579</v>
      </c>
      <c r="H219" s="3" t="s">
        <v>6003</v>
      </c>
      <c r="I219" s="3" t="s">
        <v>6004</v>
      </c>
      <c r="J219" s="3" t="s">
        <v>5536</v>
      </c>
      <c r="K219" s="3" t="s">
        <v>6021</v>
      </c>
      <c r="L219" s="8" t="str">
        <f>HYPERLINK("http://slimages.macys.com/is/image/MCY/9265595 ")</f>
        <v xml:space="preserve">http://slimages.macys.com/is/image/MCY/9265595 </v>
      </c>
    </row>
    <row r="220" spans="1:12" x14ac:dyDescent="0.25">
      <c r="A220" s="6" t="s">
        <v>997</v>
      </c>
      <c r="B220" s="3" t="s">
        <v>6247</v>
      </c>
      <c r="C220" s="4">
        <v>1</v>
      </c>
      <c r="D220" s="5">
        <v>39.99</v>
      </c>
      <c r="E220" s="4" t="s">
        <v>6248</v>
      </c>
      <c r="F220" s="3" t="s">
        <v>5578</v>
      </c>
      <c r="G220" s="7" t="s">
        <v>5579</v>
      </c>
      <c r="H220" s="3" t="s">
        <v>6003</v>
      </c>
      <c r="I220" s="3" t="s">
        <v>6004</v>
      </c>
      <c r="J220" s="3" t="s">
        <v>5536</v>
      </c>
      <c r="K220" s="3" t="s">
        <v>6021</v>
      </c>
      <c r="L220" s="8" t="str">
        <f>HYPERLINK("http://slimages.macys.com/is/image/MCY/9265595 ")</f>
        <v xml:space="preserve">http://slimages.macys.com/is/image/MCY/9265595 </v>
      </c>
    </row>
    <row r="221" spans="1:12" x14ac:dyDescent="0.25">
      <c r="A221" s="6" t="s">
        <v>998</v>
      </c>
      <c r="B221" s="3" t="s">
        <v>999</v>
      </c>
      <c r="C221" s="4">
        <v>1</v>
      </c>
      <c r="D221" s="5">
        <v>19.989999999999998</v>
      </c>
      <c r="E221" s="4" t="s">
        <v>1000</v>
      </c>
      <c r="F221" s="3" t="s">
        <v>5625</v>
      </c>
      <c r="G221" s="7" t="s">
        <v>5598</v>
      </c>
      <c r="H221" s="3" t="s">
        <v>5606</v>
      </c>
      <c r="I221" s="3" t="s">
        <v>5914</v>
      </c>
      <c r="J221" s="3" t="s">
        <v>5536</v>
      </c>
      <c r="K221" s="3" t="s">
        <v>5574</v>
      </c>
      <c r="L221" s="8" t="str">
        <f>HYPERLINK("http://slimages.macys.com/is/image/MCY/15436887 ")</f>
        <v xml:space="preserve">http://slimages.macys.com/is/image/MCY/15436887 </v>
      </c>
    </row>
    <row r="222" spans="1:12" x14ac:dyDescent="0.25">
      <c r="A222" s="6" t="s">
        <v>1001</v>
      </c>
      <c r="B222" s="3" t="s">
        <v>999</v>
      </c>
      <c r="C222" s="4">
        <v>1</v>
      </c>
      <c r="D222" s="5">
        <v>19.989999999999998</v>
      </c>
      <c r="E222" s="4" t="s">
        <v>1000</v>
      </c>
      <c r="F222" s="3" t="s">
        <v>5820</v>
      </c>
      <c r="G222" s="7" t="s">
        <v>5598</v>
      </c>
      <c r="H222" s="3" t="s">
        <v>5606</v>
      </c>
      <c r="I222" s="3" t="s">
        <v>5914</v>
      </c>
      <c r="J222" s="3" t="s">
        <v>5536</v>
      </c>
      <c r="K222" s="3" t="s">
        <v>5574</v>
      </c>
      <c r="L222" s="8" t="str">
        <f>HYPERLINK("http://slimages.macys.com/is/image/MCY/15436887 ")</f>
        <v xml:space="preserve">http://slimages.macys.com/is/image/MCY/15436887 </v>
      </c>
    </row>
    <row r="223" spans="1:12" x14ac:dyDescent="0.25">
      <c r="A223" s="6" t="s">
        <v>1002</v>
      </c>
      <c r="B223" s="3" t="s">
        <v>4124</v>
      </c>
      <c r="C223" s="4">
        <v>1</v>
      </c>
      <c r="D223" s="5">
        <v>39.99</v>
      </c>
      <c r="E223" s="4" t="s">
        <v>4125</v>
      </c>
      <c r="F223" s="3" t="s">
        <v>5532</v>
      </c>
      <c r="G223" s="7" t="s">
        <v>5596</v>
      </c>
      <c r="H223" s="3" t="s">
        <v>5978</v>
      </c>
      <c r="I223" s="3" t="s">
        <v>5979</v>
      </c>
      <c r="J223" s="3" t="s">
        <v>5536</v>
      </c>
      <c r="K223" s="3" t="s">
        <v>5594</v>
      </c>
      <c r="L223" s="8" t="str">
        <f>HYPERLINK("http://slimages.macys.com/is/image/MCY/16289386 ")</f>
        <v xml:space="preserve">http://slimages.macys.com/is/image/MCY/16289386 </v>
      </c>
    </row>
    <row r="224" spans="1:12" x14ac:dyDescent="0.25">
      <c r="A224" s="6" t="s">
        <v>1003</v>
      </c>
      <c r="B224" s="3" t="s">
        <v>4124</v>
      </c>
      <c r="C224" s="4">
        <v>3</v>
      </c>
      <c r="D224" s="5">
        <v>119.97</v>
      </c>
      <c r="E224" s="4" t="s">
        <v>4125</v>
      </c>
      <c r="F224" s="3" t="s">
        <v>5532</v>
      </c>
      <c r="G224" s="7" t="s">
        <v>5598</v>
      </c>
      <c r="H224" s="3" t="s">
        <v>5978</v>
      </c>
      <c r="I224" s="3" t="s">
        <v>5979</v>
      </c>
      <c r="J224" s="3" t="s">
        <v>5536</v>
      </c>
      <c r="K224" s="3" t="s">
        <v>5594</v>
      </c>
      <c r="L224" s="8" t="str">
        <f>HYPERLINK("http://slimages.macys.com/is/image/MCY/16289386 ")</f>
        <v xml:space="preserve">http://slimages.macys.com/is/image/MCY/16289386 </v>
      </c>
    </row>
    <row r="225" spans="1:12" x14ac:dyDescent="0.25">
      <c r="A225" s="6" t="s">
        <v>4123</v>
      </c>
      <c r="B225" s="3" t="s">
        <v>4124</v>
      </c>
      <c r="C225" s="4">
        <v>2</v>
      </c>
      <c r="D225" s="5">
        <v>79.98</v>
      </c>
      <c r="E225" s="4" t="s">
        <v>4125</v>
      </c>
      <c r="F225" s="3" t="s">
        <v>5532</v>
      </c>
      <c r="G225" s="7" t="s">
        <v>5533</v>
      </c>
      <c r="H225" s="3" t="s">
        <v>5978</v>
      </c>
      <c r="I225" s="3" t="s">
        <v>5979</v>
      </c>
      <c r="J225" s="3" t="s">
        <v>5536</v>
      </c>
      <c r="K225" s="3" t="s">
        <v>5594</v>
      </c>
      <c r="L225" s="8" t="str">
        <f>HYPERLINK("http://slimages.macys.com/is/image/MCY/16289386 ")</f>
        <v xml:space="preserve">http://slimages.macys.com/is/image/MCY/16289386 </v>
      </c>
    </row>
    <row r="226" spans="1:12" x14ac:dyDescent="0.25">
      <c r="A226" s="6" t="s">
        <v>4127</v>
      </c>
      <c r="B226" s="3" t="s">
        <v>4124</v>
      </c>
      <c r="C226" s="4">
        <v>1</v>
      </c>
      <c r="D226" s="5">
        <v>39.99</v>
      </c>
      <c r="E226" s="4" t="s">
        <v>4125</v>
      </c>
      <c r="F226" s="3" t="s">
        <v>5532</v>
      </c>
      <c r="G226" s="7" t="s">
        <v>5562</v>
      </c>
      <c r="H226" s="3" t="s">
        <v>5978</v>
      </c>
      <c r="I226" s="3" t="s">
        <v>5979</v>
      </c>
      <c r="J226" s="3" t="s">
        <v>5536</v>
      </c>
      <c r="K226" s="3" t="s">
        <v>5594</v>
      </c>
      <c r="L226" s="8" t="str">
        <f>HYPERLINK("http://slimages.macys.com/is/image/MCY/16289386 ")</f>
        <v xml:space="preserve">http://slimages.macys.com/is/image/MCY/16289386 </v>
      </c>
    </row>
    <row r="227" spans="1:12" ht="24.75" x14ac:dyDescent="0.25">
      <c r="A227" s="6" t="s">
        <v>1004</v>
      </c>
      <c r="B227" s="3" t="s">
        <v>1005</v>
      </c>
      <c r="C227" s="4">
        <v>1</v>
      </c>
      <c r="D227" s="5">
        <v>24.99</v>
      </c>
      <c r="E227" s="4" t="s">
        <v>1006</v>
      </c>
      <c r="F227" s="3" t="s">
        <v>5803</v>
      </c>
      <c r="G227" s="7" t="s">
        <v>5694</v>
      </c>
      <c r="H227" s="3" t="s">
        <v>5862</v>
      </c>
      <c r="I227" s="3" t="s">
        <v>2920</v>
      </c>
      <c r="J227" s="3" t="s">
        <v>5536</v>
      </c>
      <c r="K227" s="3" t="s">
        <v>5727</v>
      </c>
      <c r="L227" s="8" t="str">
        <f>HYPERLINK("http://slimages.macys.com/is/image/MCY/9003286 ")</f>
        <v xml:space="preserve">http://slimages.macys.com/is/image/MCY/9003286 </v>
      </c>
    </row>
    <row r="228" spans="1:12" ht="24.75" x14ac:dyDescent="0.25">
      <c r="A228" s="6" t="s">
        <v>1007</v>
      </c>
      <c r="B228" s="3" t="s">
        <v>1008</v>
      </c>
      <c r="C228" s="4">
        <v>1</v>
      </c>
      <c r="D228" s="5">
        <v>23</v>
      </c>
      <c r="E228" s="4" t="s">
        <v>1009</v>
      </c>
      <c r="F228" s="3" t="s">
        <v>5540</v>
      </c>
      <c r="G228" s="7" t="s">
        <v>6252</v>
      </c>
      <c r="H228" s="3" t="s">
        <v>5899</v>
      </c>
      <c r="I228" s="3" t="s">
        <v>6253</v>
      </c>
      <c r="J228" s="3" t="s">
        <v>5536</v>
      </c>
      <c r="K228" s="3" t="s">
        <v>4781</v>
      </c>
      <c r="L228" s="8" t="str">
        <f>HYPERLINK("http://slimages.macys.com/is/image/MCY/9559454 ")</f>
        <v xml:space="preserve">http://slimages.macys.com/is/image/MCY/9559454 </v>
      </c>
    </row>
    <row r="229" spans="1:12" x14ac:dyDescent="0.25">
      <c r="A229" s="6" t="s">
        <v>1010</v>
      </c>
      <c r="B229" s="3" t="s">
        <v>1011</v>
      </c>
      <c r="C229" s="4">
        <v>1</v>
      </c>
      <c r="D229" s="5">
        <v>34.99</v>
      </c>
      <c r="E229" s="4" t="s">
        <v>1012</v>
      </c>
      <c r="F229" s="3" t="s">
        <v>5578</v>
      </c>
      <c r="G229" s="7" t="s">
        <v>5596</v>
      </c>
      <c r="H229" s="3" t="s">
        <v>6003</v>
      </c>
      <c r="I229" s="3" t="s">
        <v>6004</v>
      </c>
      <c r="J229" s="3" t="s">
        <v>5536</v>
      </c>
      <c r="K229" s="3" t="s">
        <v>5574</v>
      </c>
      <c r="L229" s="8" t="str">
        <f>HYPERLINK("http://slimages.macys.com/is/image/MCY/14501719 ")</f>
        <v xml:space="preserve">http://slimages.macys.com/is/image/MCY/14501719 </v>
      </c>
    </row>
    <row r="230" spans="1:12" ht="24.75" x14ac:dyDescent="0.25">
      <c r="A230" s="6" t="s">
        <v>4143</v>
      </c>
      <c r="B230" s="3" t="s">
        <v>4144</v>
      </c>
      <c r="C230" s="4">
        <v>2</v>
      </c>
      <c r="D230" s="5">
        <v>69.98</v>
      </c>
      <c r="E230" s="4" t="s">
        <v>4145</v>
      </c>
      <c r="F230" s="3" t="s">
        <v>5745</v>
      </c>
      <c r="G230" s="7" t="s">
        <v>5560</v>
      </c>
      <c r="H230" s="3" t="s">
        <v>6065</v>
      </c>
      <c r="I230" s="3" t="s">
        <v>6066</v>
      </c>
      <c r="J230" s="3" t="s">
        <v>5536</v>
      </c>
      <c r="K230" s="3" t="s">
        <v>6021</v>
      </c>
      <c r="L230" s="8" t="str">
        <f>HYPERLINK("http://slimages.macys.com/is/image/MCY/11666852 ")</f>
        <v xml:space="preserve">http://slimages.macys.com/is/image/MCY/11666852 </v>
      </c>
    </row>
    <row r="231" spans="1:12" ht="24.75" x14ac:dyDescent="0.25">
      <c r="A231" s="6" t="s">
        <v>4146</v>
      </c>
      <c r="B231" s="3" t="s">
        <v>4144</v>
      </c>
      <c r="C231" s="4">
        <v>2</v>
      </c>
      <c r="D231" s="5">
        <v>69.98</v>
      </c>
      <c r="E231" s="4" t="s">
        <v>4145</v>
      </c>
      <c r="F231" s="3" t="s">
        <v>5745</v>
      </c>
      <c r="G231" s="7" t="s">
        <v>5598</v>
      </c>
      <c r="H231" s="3" t="s">
        <v>6065</v>
      </c>
      <c r="I231" s="3" t="s">
        <v>6066</v>
      </c>
      <c r="J231" s="3" t="s">
        <v>5536</v>
      </c>
      <c r="K231" s="3" t="s">
        <v>6021</v>
      </c>
      <c r="L231" s="8" t="str">
        <f>HYPERLINK("http://slimages.macys.com/is/image/MCY/11666852 ")</f>
        <v xml:space="preserve">http://slimages.macys.com/is/image/MCY/11666852 </v>
      </c>
    </row>
    <row r="232" spans="1:12" ht="24.75" x14ac:dyDescent="0.25">
      <c r="A232" s="6" t="s">
        <v>1013</v>
      </c>
      <c r="B232" s="3" t="s">
        <v>1014</v>
      </c>
      <c r="C232" s="4">
        <v>1</v>
      </c>
      <c r="D232" s="5">
        <v>24</v>
      </c>
      <c r="E232" s="4" t="s">
        <v>1015</v>
      </c>
      <c r="F232" s="3" t="s">
        <v>5552</v>
      </c>
      <c r="G232" s="7"/>
      <c r="H232" s="3" t="s">
        <v>5825</v>
      </c>
      <c r="I232" s="3" t="s">
        <v>6673</v>
      </c>
      <c r="J232" s="3" t="s">
        <v>5536</v>
      </c>
      <c r="K232" s="3" t="s">
        <v>5549</v>
      </c>
      <c r="L232" s="8" t="str">
        <f>HYPERLINK("http://slimages.macys.com/is/image/MCY/15217116 ")</f>
        <v xml:space="preserve">http://slimages.macys.com/is/image/MCY/15217116 </v>
      </c>
    </row>
    <row r="233" spans="1:12" x14ac:dyDescent="0.25">
      <c r="A233" s="6" t="s">
        <v>2406</v>
      </c>
      <c r="B233" s="3" t="s">
        <v>2404</v>
      </c>
      <c r="C233" s="4">
        <v>1</v>
      </c>
      <c r="D233" s="5">
        <v>39.99</v>
      </c>
      <c r="E233" s="4" t="s">
        <v>2405</v>
      </c>
      <c r="F233" s="3" t="s">
        <v>5783</v>
      </c>
      <c r="G233" s="7" t="s">
        <v>5596</v>
      </c>
      <c r="H233" s="3" t="s">
        <v>6065</v>
      </c>
      <c r="I233" s="3" t="s">
        <v>6066</v>
      </c>
      <c r="J233" s="3" t="s">
        <v>5536</v>
      </c>
      <c r="K233" s="3" t="s">
        <v>5549</v>
      </c>
      <c r="L233" s="8" t="str">
        <f>HYPERLINK("http://slimages.macys.com/is/image/MCY/15360896 ")</f>
        <v xml:space="preserve">http://slimages.macys.com/is/image/MCY/15360896 </v>
      </c>
    </row>
    <row r="234" spans="1:12" ht="24.75" x14ac:dyDescent="0.25">
      <c r="A234" s="6" t="s">
        <v>1016</v>
      </c>
      <c r="B234" s="3" t="s">
        <v>1017</v>
      </c>
      <c r="C234" s="4">
        <v>1</v>
      </c>
      <c r="D234" s="5">
        <v>25</v>
      </c>
      <c r="E234" s="4" t="s">
        <v>1018</v>
      </c>
      <c r="F234" s="3" t="s">
        <v>6275</v>
      </c>
      <c r="G234" s="7" t="s">
        <v>5533</v>
      </c>
      <c r="H234" s="3" t="s">
        <v>4431</v>
      </c>
      <c r="I234" s="3" t="s">
        <v>5511</v>
      </c>
      <c r="J234" s="3" t="s">
        <v>5536</v>
      </c>
      <c r="K234" s="3" t="s">
        <v>5594</v>
      </c>
      <c r="L234" s="8" t="str">
        <f>HYPERLINK("http://slimages.macys.com/is/image/MCY/13859045 ")</f>
        <v xml:space="preserve">http://slimages.macys.com/is/image/MCY/13859045 </v>
      </c>
    </row>
    <row r="235" spans="1:12" ht="24.75" x14ac:dyDescent="0.25">
      <c r="A235" s="6" t="s">
        <v>1019</v>
      </c>
      <c r="B235" s="3" t="s">
        <v>1020</v>
      </c>
      <c r="C235" s="4">
        <v>1</v>
      </c>
      <c r="D235" s="5">
        <v>34.99</v>
      </c>
      <c r="E235" s="4" t="s">
        <v>1021</v>
      </c>
      <c r="F235" s="3" t="s">
        <v>6275</v>
      </c>
      <c r="G235" s="7" t="s">
        <v>6170</v>
      </c>
      <c r="H235" s="3" t="s">
        <v>6003</v>
      </c>
      <c r="I235" s="3" t="s">
        <v>6004</v>
      </c>
      <c r="J235" s="3" t="s">
        <v>5536</v>
      </c>
      <c r="K235" s="3" t="s">
        <v>6021</v>
      </c>
      <c r="L235" s="8" t="str">
        <f>HYPERLINK("http://slimages.macys.com/is/image/MCY/12291548 ")</f>
        <v xml:space="preserve">http://slimages.macys.com/is/image/MCY/12291548 </v>
      </c>
    </row>
    <row r="236" spans="1:12" x14ac:dyDescent="0.25">
      <c r="A236" s="6" t="s">
        <v>1022</v>
      </c>
      <c r="B236" s="3" t="s">
        <v>4270</v>
      </c>
      <c r="C236" s="4">
        <v>1</v>
      </c>
      <c r="D236" s="5">
        <v>34.99</v>
      </c>
      <c r="E236" s="4" t="s">
        <v>4271</v>
      </c>
      <c r="F236" s="3" t="s">
        <v>5532</v>
      </c>
      <c r="G236" s="7" t="s">
        <v>5596</v>
      </c>
      <c r="H236" s="3" t="s">
        <v>6003</v>
      </c>
      <c r="I236" s="3" t="s">
        <v>6004</v>
      </c>
      <c r="J236" s="3" t="s">
        <v>5536</v>
      </c>
      <c r="K236" s="3" t="s">
        <v>6021</v>
      </c>
      <c r="L236" s="8" t="str">
        <f>HYPERLINK("http://slimages.macys.com/is/image/MCY/16187974 ")</f>
        <v xml:space="preserve">http://slimages.macys.com/is/image/MCY/16187974 </v>
      </c>
    </row>
    <row r="237" spans="1:12" x14ac:dyDescent="0.25">
      <c r="A237" s="6" t="s">
        <v>4272</v>
      </c>
      <c r="B237" s="3" t="s">
        <v>4270</v>
      </c>
      <c r="C237" s="4">
        <v>1</v>
      </c>
      <c r="D237" s="5">
        <v>34.99</v>
      </c>
      <c r="E237" s="4" t="s">
        <v>4271</v>
      </c>
      <c r="F237" s="3" t="s">
        <v>5532</v>
      </c>
      <c r="G237" s="7" t="s">
        <v>5560</v>
      </c>
      <c r="H237" s="3" t="s">
        <v>6003</v>
      </c>
      <c r="I237" s="3" t="s">
        <v>6004</v>
      </c>
      <c r="J237" s="3" t="s">
        <v>5536</v>
      </c>
      <c r="K237" s="3" t="s">
        <v>6021</v>
      </c>
      <c r="L237" s="8" t="str">
        <f>HYPERLINK("http://slimages.macys.com/is/image/MCY/16187974 ")</f>
        <v xml:space="preserve">http://slimages.macys.com/is/image/MCY/16187974 </v>
      </c>
    </row>
    <row r="238" spans="1:12" ht="24.75" x14ac:dyDescent="0.25">
      <c r="A238" s="6" t="s">
        <v>2380</v>
      </c>
      <c r="B238" s="3" t="s">
        <v>6263</v>
      </c>
      <c r="C238" s="4">
        <v>1</v>
      </c>
      <c r="D238" s="5">
        <v>25.5</v>
      </c>
      <c r="E238" s="4" t="s">
        <v>6264</v>
      </c>
      <c r="F238" s="3" t="s">
        <v>6335</v>
      </c>
      <c r="G238" s="7"/>
      <c r="H238" s="3" t="s">
        <v>5825</v>
      </c>
      <c r="I238" s="3" t="s">
        <v>6265</v>
      </c>
      <c r="J238" s="3" t="s">
        <v>5536</v>
      </c>
      <c r="K238" s="3" t="s">
        <v>6266</v>
      </c>
      <c r="L238" s="8" t="str">
        <f>HYPERLINK("http://slimages.macys.com/is/image/MCY/11518029 ")</f>
        <v xml:space="preserve">http://slimages.macys.com/is/image/MCY/11518029 </v>
      </c>
    </row>
    <row r="239" spans="1:12" x14ac:dyDescent="0.25">
      <c r="A239" s="6" t="s">
        <v>1023</v>
      </c>
      <c r="B239" s="3" t="s">
        <v>1024</v>
      </c>
      <c r="C239" s="4">
        <v>1</v>
      </c>
      <c r="D239" s="5">
        <v>17.989999999999998</v>
      </c>
      <c r="E239" s="4" t="s">
        <v>1025</v>
      </c>
      <c r="F239" s="3" t="s">
        <v>5540</v>
      </c>
      <c r="G239" s="7" t="s">
        <v>5560</v>
      </c>
      <c r="H239" s="3" t="s">
        <v>5606</v>
      </c>
      <c r="I239" s="3" t="s">
        <v>5914</v>
      </c>
      <c r="J239" s="3" t="s">
        <v>5536</v>
      </c>
      <c r="K239" s="3" t="s">
        <v>5594</v>
      </c>
      <c r="L239" s="8" t="str">
        <f>HYPERLINK("http://slimages.macys.com/is/image/MCY/14434969 ")</f>
        <v xml:space="preserve">http://slimages.macys.com/is/image/MCY/14434969 </v>
      </c>
    </row>
    <row r="240" spans="1:12" ht="36.75" x14ac:dyDescent="0.25">
      <c r="A240" s="6" t="s">
        <v>1026</v>
      </c>
      <c r="B240" s="3" t="s">
        <v>1027</v>
      </c>
      <c r="C240" s="4">
        <v>1</v>
      </c>
      <c r="D240" s="5">
        <v>24</v>
      </c>
      <c r="E240" s="4" t="s">
        <v>1028</v>
      </c>
      <c r="F240" s="3" t="s">
        <v>5540</v>
      </c>
      <c r="G240" s="7" t="s">
        <v>5596</v>
      </c>
      <c r="H240" s="3" t="s">
        <v>6430</v>
      </c>
      <c r="I240" s="3" t="s">
        <v>6431</v>
      </c>
      <c r="J240" s="3" t="s">
        <v>5536</v>
      </c>
      <c r="K240" s="3" t="s">
        <v>6021</v>
      </c>
      <c r="L240" s="8" t="str">
        <f>HYPERLINK("http://slimages.macys.com/is/image/MCY/15189343 ")</f>
        <v xml:space="preserve">http://slimages.macys.com/is/image/MCY/15189343 </v>
      </c>
    </row>
    <row r="241" spans="1:12" x14ac:dyDescent="0.25">
      <c r="A241" s="6" t="s">
        <v>1029</v>
      </c>
      <c r="B241" s="3" t="s">
        <v>1030</v>
      </c>
      <c r="C241" s="4">
        <v>1</v>
      </c>
      <c r="D241" s="5">
        <v>34.99</v>
      </c>
      <c r="E241" s="4" t="s">
        <v>1031</v>
      </c>
      <c r="F241" s="3" t="s">
        <v>5552</v>
      </c>
      <c r="G241" s="7" t="s">
        <v>5596</v>
      </c>
      <c r="H241" s="3" t="s">
        <v>6003</v>
      </c>
      <c r="I241" s="3" t="s">
        <v>6004</v>
      </c>
      <c r="J241" s="3" t="s">
        <v>5536</v>
      </c>
      <c r="K241" s="3" t="s">
        <v>6021</v>
      </c>
      <c r="L241" s="8" t="str">
        <f>HYPERLINK("http://slimages.macys.com/is/image/MCY/16227304 ")</f>
        <v xml:space="preserve">http://slimages.macys.com/is/image/MCY/16227304 </v>
      </c>
    </row>
    <row r="242" spans="1:12" x14ac:dyDescent="0.25">
      <c r="A242" s="6" t="s">
        <v>1032</v>
      </c>
      <c r="B242" s="3" t="s">
        <v>442</v>
      </c>
      <c r="C242" s="4">
        <v>1</v>
      </c>
      <c r="D242" s="5">
        <v>34.99</v>
      </c>
      <c r="E242" s="4" t="s">
        <v>443</v>
      </c>
      <c r="F242" s="3" t="s">
        <v>6300</v>
      </c>
      <c r="G242" s="7" t="s">
        <v>5533</v>
      </c>
      <c r="H242" s="3" t="s">
        <v>6003</v>
      </c>
      <c r="I242" s="3" t="s">
        <v>6004</v>
      </c>
      <c r="J242" s="3" t="s">
        <v>5536</v>
      </c>
      <c r="K242" s="3" t="s">
        <v>6021</v>
      </c>
      <c r="L242" s="8" t="str">
        <f>HYPERLINK("http://slimages.macys.com/is/image/MCY/16232603 ")</f>
        <v xml:space="preserve">http://slimages.macys.com/is/image/MCY/16232603 </v>
      </c>
    </row>
    <row r="243" spans="1:12" x14ac:dyDescent="0.25">
      <c r="A243" s="6" t="s">
        <v>1033</v>
      </c>
      <c r="B243" s="3" t="s">
        <v>1030</v>
      </c>
      <c r="C243" s="4">
        <v>1</v>
      </c>
      <c r="D243" s="5">
        <v>34.99</v>
      </c>
      <c r="E243" s="4" t="s">
        <v>1031</v>
      </c>
      <c r="F243" s="3" t="s">
        <v>5552</v>
      </c>
      <c r="G243" s="7" t="s">
        <v>5598</v>
      </c>
      <c r="H243" s="3" t="s">
        <v>6003</v>
      </c>
      <c r="I243" s="3" t="s">
        <v>6004</v>
      </c>
      <c r="J243" s="3" t="s">
        <v>5536</v>
      </c>
      <c r="K243" s="3" t="s">
        <v>6021</v>
      </c>
      <c r="L243" s="8" t="str">
        <f>HYPERLINK("http://slimages.macys.com/is/image/MCY/16227304 ")</f>
        <v xml:space="preserve">http://slimages.macys.com/is/image/MCY/16227304 </v>
      </c>
    </row>
    <row r="244" spans="1:12" x14ac:dyDescent="0.25">
      <c r="A244" s="6" t="s">
        <v>1034</v>
      </c>
      <c r="B244" s="3" t="s">
        <v>442</v>
      </c>
      <c r="C244" s="4">
        <v>1</v>
      </c>
      <c r="D244" s="5">
        <v>34.99</v>
      </c>
      <c r="E244" s="4" t="s">
        <v>443</v>
      </c>
      <c r="F244" s="3" t="s">
        <v>6300</v>
      </c>
      <c r="G244" s="7" t="s">
        <v>5560</v>
      </c>
      <c r="H244" s="3" t="s">
        <v>6003</v>
      </c>
      <c r="I244" s="3" t="s">
        <v>6004</v>
      </c>
      <c r="J244" s="3" t="s">
        <v>5536</v>
      </c>
      <c r="K244" s="3" t="s">
        <v>6021</v>
      </c>
      <c r="L244" s="8" t="str">
        <f>HYPERLINK("http://slimages.macys.com/is/image/MCY/16232603 ")</f>
        <v xml:space="preserve">http://slimages.macys.com/is/image/MCY/16232603 </v>
      </c>
    </row>
    <row r="245" spans="1:12" x14ac:dyDescent="0.25">
      <c r="A245" s="6" t="s">
        <v>1035</v>
      </c>
      <c r="B245" s="3" t="s">
        <v>1030</v>
      </c>
      <c r="C245" s="4">
        <v>1</v>
      </c>
      <c r="D245" s="5">
        <v>34.99</v>
      </c>
      <c r="E245" s="4" t="s">
        <v>1031</v>
      </c>
      <c r="F245" s="3" t="s">
        <v>5552</v>
      </c>
      <c r="G245" s="7" t="s">
        <v>5560</v>
      </c>
      <c r="H245" s="3" t="s">
        <v>6003</v>
      </c>
      <c r="I245" s="3" t="s">
        <v>6004</v>
      </c>
      <c r="J245" s="3" t="s">
        <v>5536</v>
      </c>
      <c r="K245" s="3" t="s">
        <v>6021</v>
      </c>
      <c r="L245" s="8" t="str">
        <f>HYPERLINK("http://slimages.macys.com/is/image/MCY/16227304 ")</f>
        <v xml:space="preserve">http://slimages.macys.com/is/image/MCY/16227304 </v>
      </c>
    </row>
    <row r="246" spans="1:12" x14ac:dyDescent="0.25">
      <c r="A246" s="6" t="s">
        <v>1036</v>
      </c>
      <c r="B246" s="3" t="s">
        <v>442</v>
      </c>
      <c r="C246" s="4">
        <v>1</v>
      </c>
      <c r="D246" s="5">
        <v>34.99</v>
      </c>
      <c r="E246" s="4" t="s">
        <v>443</v>
      </c>
      <c r="F246" s="3" t="s">
        <v>5661</v>
      </c>
      <c r="G246" s="7" t="s">
        <v>5560</v>
      </c>
      <c r="H246" s="3" t="s">
        <v>6003</v>
      </c>
      <c r="I246" s="3" t="s">
        <v>6004</v>
      </c>
      <c r="J246" s="3" t="s">
        <v>5536</v>
      </c>
      <c r="K246" s="3" t="s">
        <v>6021</v>
      </c>
      <c r="L246" s="8" t="str">
        <f>HYPERLINK("http://slimages.macys.com/is/image/MCY/16232603 ")</f>
        <v xml:space="preserve">http://slimages.macys.com/is/image/MCY/16232603 </v>
      </c>
    </row>
    <row r="247" spans="1:12" x14ac:dyDescent="0.25">
      <c r="A247" s="6" t="s">
        <v>1037</v>
      </c>
      <c r="B247" s="3" t="s">
        <v>442</v>
      </c>
      <c r="C247" s="4">
        <v>1</v>
      </c>
      <c r="D247" s="5">
        <v>34.99</v>
      </c>
      <c r="E247" s="4" t="s">
        <v>443</v>
      </c>
      <c r="F247" s="3" t="s">
        <v>5661</v>
      </c>
      <c r="G247" s="7" t="s">
        <v>5596</v>
      </c>
      <c r="H247" s="3" t="s">
        <v>6003</v>
      </c>
      <c r="I247" s="3" t="s">
        <v>6004</v>
      </c>
      <c r="J247" s="3" t="s">
        <v>5536</v>
      </c>
      <c r="K247" s="3" t="s">
        <v>6021</v>
      </c>
      <c r="L247" s="8" t="str">
        <f>HYPERLINK("http://slimages.macys.com/is/image/MCY/16232603 ")</f>
        <v xml:space="preserve">http://slimages.macys.com/is/image/MCY/16232603 </v>
      </c>
    </row>
    <row r="248" spans="1:12" x14ac:dyDescent="0.25">
      <c r="A248" s="6" t="s">
        <v>1038</v>
      </c>
      <c r="B248" s="3" t="s">
        <v>442</v>
      </c>
      <c r="C248" s="4">
        <v>1</v>
      </c>
      <c r="D248" s="5">
        <v>34.99</v>
      </c>
      <c r="E248" s="4" t="s">
        <v>443</v>
      </c>
      <c r="F248" s="3" t="s">
        <v>6300</v>
      </c>
      <c r="G248" s="7" t="s">
        <v>5596</v>
      </c>
      <c r="H248" s="3" t="s">
        <v>6003</v>
      </c>
      <c r="I248" s="3" t="s">
        <v>6004</v>
      </c>
      <c r="J248" s="3" t="s">
        <v>5536</v>
      </c>
      <c r="K248" s="3" t="s">
        <v>6021</v>
      </c>
      <c r="L248" s="8" t="str">
        <f>HYPERLINK("http://slimages.macys.com/is/image/MCY/16232603 ")</f>
        <v xml:space="preserve">http://slimages.macys.com/is/image/MCY/16232603 </v>
      </c>
    </row>
    <row r="249" spans="1:12" x14ac:dyDescent="0.25">
      <c r="A249" s="6" t="s">
        <v>2432</v>
      </c>
      <c r="B249" s="3" t="s">
        <v>2433</v>
      </c>
      <c r="C249" s="4">
        <v>1</v>
      </c>
      <c r="D249" s="5">
        <v>34.99</v>
      </c>
      <c r="E249" s="4" t="s">
        <v>2434</v>
      </c>
      <c r="F249" s="3" t="s">
        <v>5578</v>
      </c>
      <c r="G249" s="7" t="s">
        <v>5596</v>
      </c>
      <c r="H249" s="3" t="s">
        <v>6003</v>
      </c>
      <c r="I249" s="3" t="s">
        <v>6004</v>
      </c>
      <c r="J249" s="3" t="s">
        <v>5536</v>
      </c>
      <c r="K249" s="3" t="s">
        <v>4035</v>
      </c>
      <c r="L249" s="8" t="str">
        <f>HYPERLINK("http://slimages.macys.com/is/image/MCY/15508202 ")</f>
        <v xml:space="preserve">http://slimages.macys.com/is/image/MCY/15508202 </v>
      </c>
    </row>
    <row r="250" spans="1:12" ht="24.75" x14ac:dyDescent="0.25">
      <c r="A250" s="6" t="s">
        <v>1039</v>
      </c>
      <c r="B250" s="3" t="s">
        <v>6531</v>
      </c>
      <c r="C250" s="4">
        <v>1</v>
      </c>
      <c r="D250" s="5">
        <v>22.25</v>
      </c>
      <c r="E250" s="4" t="s">
        <v>6532</v>
      </c>
      <c r="F250" s="3" t="s">
        <v>5754</v>
      </c>
      <c r="G250" s="7" t="s">
        <v>5898</v>
      </c>
      <c r="H250" s="3" t="s">
        <v>6280</v>
      </c>
      <c r="I250" s="3" t="s">
        <v>6533</v>
      </c>
      <c r="J250" s="3" t="s">
        <v>5536</v>
      </c>
      <c r="K250" s="3" t="s">
        <v>6295</v>
      </c>
      <c r="L250" s="8" t="str">
        <f>HYPERLINK("http://slimages.macys.com/is/image/MCY/12236968 ")</f>
        <v xml:space="preserve">http://slimages.macys.com/is/image/MCY/12236968 </v>
      </c>
    </row>
    <row r="251" spans="1:12" ht="24.75" x14ac:dyDescent="0.25">
      <c r="A251" s="6" t="s">
        <v>6534</v>
      </c>
      <c r="B251" s="3" t="s">
        <v>6535</v>
      </c>
      <c r="C251" s="4">
        <v>1</v>
      </c>
      <c r="D251" s="5">
        <v>22.25</v>
      </c>
      <c r="E251" s="4" t="s">
        <v>6536</v>
      </c>
      <c r="F251" s="3" t="s">
        <v>5661</v>
      </c>
      <c r="G251" s="7" t="s">
        <v>5898</v>
      </c>
      <c r="H251" s="3" t="s">
        <v>6280</v>
      </c>
      <c r="I251" s="3" t="s">
        <v>6533</v>
      </c>
      <c r="J251" s="3" t="s">
        <v>5536</v>
      </c>
      <c r="K251" s="3" t="s">
        <v>6537</v>
      </c>
      <c r="L251" s="8" t="str">
        <f>HYPERLINK("http://slimages.macys.com/is/image/MCY/9113313 ")</f>
        <v xml:space="preserve">http://slimages.macys.com/is/image/MCY/9113313 </v>
      </c>
    </row>
    <row r="252" spans="1:12" ht="24.75" x14ac:dyDescent="0.25">
      <c r="A252" s="6" t="s">
        <v>6538</v>
      </c>
      <c r="B252" s="3" t="s">
        <v>6539</v>
      </c>
      <c r="C252" s="4">
        <v>1</v>
      </c>
      <c r="D252" s="5">
        <v>22.25</v>
      </c>
      <c r="E252" s="4" t="s">
        <v>6540</v>
      </c>
      <c r="F252" s="3" t="s">
        <v>5661</v>
      </c>
      <c r="G252" s="7" t="s">
        <v>5898</v>
      </c>
      <c r="H252" s="3" t="s">
        <v>6280</v>
      </c>
      <c r="I252" s="3" t="s">
        <v>6533</v>
      </c>
      <c r="J252" s="3" t="s">
        <v>5536</v>
      </c>
      <c r="K252" s="3" t="s">
        <v>6537</v>
      </c>
      <c r="L252" s="8" t="str">
        <f>HYPERLINK("http://slimages.macys.com/is/image/MCY/9108274 ")</f>
        <v xml:space="preserve">http://slimages.macys.com/is/image/MCY/9108274 </v>
      </c>
    </row>
    <row r="253" spans="1:12" ht="24.75" x14ac:dyDescent="0.25">
      <c r="A253" s="6" t="s">
        <v>1040</v>
      </c>
      <c r="B253" s="3" t="s">
        <v>1041</v>
      </c>
      <c r="C253" s="4">
        <v>1</v>
      </c>
      <c r="D253" s="5">
        <v>17.989999999999998</v>
      </c>
      <c r="E253" s="4" t="s">
        <v>1042</v>
      </c>
      <c r="F253" s="3" t="s">
        <v>5593</v>
      </c>
      <c r="G253" s="7" t="s">
        <v>5560</v>
      </c>
      <c r="H253" s="3" t="s">
        <v>5794</v>
      </c>
      <c r="I253" s="3" t="s">
        <v>1043</v>
      </c>
      <c r="J253" s="3" t="s">
        <v>5536</v>
      </c>
      <c r="K253" s="3" t="s">
        <v>5553</v>
      </c>
      <c r="L253" s="8" t="str">
        <f>HYPERLINK("http://slimages.macys.com/is/image/MCY/11032652 ")</f>
        <v xml:space="preserve">http://slimages.macys.com/is/image/MCY/11032652 </v>
      </c>
    </row>
    <row r="254" spans="1:12" ht="24.75" x14ac:dyDescent="0.25">
      <c r="A254" s="6" t="s">
        <v>1044</v>
      </c>
      <c r="B254" s="3" t="s">
        <v>3235</v>
      </c>
      <c r="C254" s="4">
        <v>1</v>
      </c>
      <c r="D254" s="5">
        <v>23</v>
      </c>
      <c r="E254" s="4" t="s">
        <v>3236</v>
      </c>
      <c r="F254" s="3" t="s">
        <v>5578</v>
      </c>
      <c r="G254" s="7" t="s">
        <v>5835</v>
      </c>
      <c r="H254" s="3" t="s">
        <v>5825</v>
      </c>
      <c r="I254" s="3" t="s">
        <v>5826</v>
      </c>
      <c r="J254" s="3" t="s">
        <v>5536</v>
      </c>
      <c r="K254" s="3" t="s">
        <v>5549</v>
      </c>
      <c r="L254" s="8" t="str">
        <f>HYPERLINK("http://slimages.macys.com/is/image/MCY/10267374 ")</f>
        <v xml:space="preserve">http://slimages.macys.com/is/image/MCY/10267374 </v>
      </c>
    </row>
    <row r="255" spans="1:12" ht="24.75" x14ac:dyDescent="0.25">
      <c r="A255" s="6" t="s">
        <v>1045</v>
      </c>
      <c r="B255" s="3" t="s">
        <v>5071</v>
      </c>
      <c r="C255" s="4">
        <v>2</v>
      </c>
      <c r="D255" s="5">
        <v>52</v>
      </c>
      <c r="E255" s="4" t="s">
        <v>5072</v>
      </c>
      <c r="F255" s="3" t="s">
        <v>6300</v>
      </c>
      <c r="G255" s="7" t="s">
        <v>5596</v>
      </c>
      <c r="H255" s="3" t="s">
        <v>6492</v>
      </c>
      <c r="I255" s="3" t="s">
        <v>6548</v>
      </c>
      <c r="J255" s="3" t="s">
        <v>5536</v>
      </c>
      <c r="K255" s="3" t="s">
        <v>5594</v>
      </c>
      <c r="L255" s="8" t="str">
        <f>HYPERLINK("http://slimages.macys.com/is/image/MCY/14540381 ")</f>
        <v xml:space="preserve">http://slimages.macys.com/is/image/MCY/14540381 </v>
      </c>
    </row>
    <row r="256" spans="1:12" ht="24.75" x14ac:dyDescent="0.25">
      <c r="A256" s="6" t="s">
        <v>1046</v>
      </c>
      <c r="B256" s="3" t="s">
        <v>6568</v>
      </c>
      <c r="C256" s="4">
        <v>1</v>
      </c>
      <c r="D256" s="5">
        <v>23</v>
      </c>
      <c r="E256" s="4">
        <v>100019472</v>
      </c>
      <c r="F256" s="3" t="s">
        <v>5783</v>
      </c>
      <c r="G256" s="7" t="s">
        <v>5830</v>
      </c>
      <c r="H256" s="3" t="s">
        <v>5825</v>
      </c>
      <c r="I256" s="3" t="s">
        <v>5826</v>
      </c>
      <c r="J256" s="3" t="s">
        <v>5536</v>
      </c>
      <c r="K256" s="3" t="s">
        <v>5594</v>
      </c>
      <c r="L256" s="8" t="str">
        <f>HYPERLINK("http://slimages.macys.com/is/image/MCY/9470798 ")</f>
        <v xml:space="preserve">http://slimages.macys.com/is/image/MCY/9470798 </v>
      </c>
    </row>
    <row r="257" spans="1:12" ht="24.75" x14ac:dyDescent="0.25">
      <c r="A257" s="6" t="s">
        <v>1047</v>
      </c>
      <c r="B257" s="3" t="s">
        <v>6568</v>
      </c>
      <c r="C257" s="4">
        <v>1</v>
      </c>
      <c r="D257" s="5">
        <v>23</v>
      </c>
      <c r="E257" s="4">
        <v>100019472</v>
      </c>
      <c r="F257" s="3" t="s">
        <v>5783</v>
      </c>
      <c r="G257" s="7" t="s">
        <v>6476</v>
      </c>
      <c r="H257" s="3" t="s">
        <v>5825</v>
      </c>
      <c r="I257" s="3" t="s">
        <v>5826</v>
      </c>
      <c r="J257" s="3" t="s">
        <v>5536</v>
      </c>
      <c r="K257" s="3" t="s">
        <v>5594</v>
      </c>
      <c r="L257" s="8" t="str">
        <f>HYPERLINK("http://slimages.macys.com/is/image/MCY/9470798 ")</f>
        <v xml:space="preserve">http://slimages.macys.com/is/image/MCY/9470798 </v>
      </c>
    </row>
    <row r="258" spans="1:12" ht="24.75" x14ac:dyDescent="0.25">
      <c r="A258" s="6" t="s">
        <v>1048</v>
      </c>
      <c r="B258" s="3" t="s">
        <v>6575</v>
      </c>
      <c r="C258" s="4">
        <v>1</v>
      </c>
      <c r="D258" s="5">
        <v>23</v>
      </c>
      <c r="E258" s="4" t="s">
        <v>6576</v>
      </c>
      <c r="F258" s="3" t="s">
        <v>5532</v>
      </c>
      <c r="G258" s="7"/>
      <c r="H258" s="3" t="s">
        <v>5825</v>
      </c>
      <c r="I258" s="3" t="s">
        <v>5826</v>
      </c>
      <c r="J258" s="3" t="s">
        <v>5536</v>
      </c>
      <c r="K258" s="3" t="s">
        <v>5549</v>
      </c>
      <c r="L258" s="8" t="str">
        <f>HYPERLINK("http://slimages.macys.com/is/image/MCY/14532354 ")</f>
        <v xml:space="preserve">http://slimages.macys.com/is/image/MCY/14532354 </v>
      </c>
    </row>
    <row r="259" spans="1:12" ht="24.75" x14ac:dyDescent="0.25">
      <c r="A259" s="6" t="s">
        <v>6577</v>
      </c>
      <c r="B259" s="3" t="s">
        <v>6575</v>
      </c>
      <c r="C259" s="4">
        <v>1</v>
      </c>
      <c r="D259" s="5">
        <v>23</v>
      </c>
      <c r="E259" s="4" t="s">
        <v>6576</v>
      </c>
      <c r="F259" s="3" t="s">
        <v>5532</v>
      </c>
      <c r="G259" s="7" t="s">
        <v>5779</v>
      </c>
      <c r="H259" s="3" t="s">
        <v>5825</v>
      </c>
      <c r="I259" s="3" t="s">
        <v>5826</v>
      </c>
      <c r="J259" s="3" t="s">
        <v>5536</v>
      </c>
      <c r="K259" s="3" t="s">
        <v>5549</v>
      </c>
      <c r="L259" s="8" t="str">
        <f>HYPERLINK("http://slimages.macys.com/is/image/MCY/14532354 ")</f>
        <v xml:space="preserve">http://slimages.macys.com/is/image/MCY/14532354 </v>
      </c>
    </row>
    <row r="260" spans="1:12" ht="24.75" x14ac:dyDescent="0.25">
      <c r="A260" s="6" t="s">
        <v>1049</v>
      </c>
      <c r="B260" s="3" t="s">
        <v>6606</v>
      </c>
      <c r="C260" s="4">
        <v>1</v>
      </c>
      <c r="D260" s="5">
        <v>24.99</v>
      </c>
      <c r="E260" s="4" t="s">
        <v>6607</v>
      </c>
      <c r="F260" s="3" t="s">
        <v>5552</v>
      </c>
      <c r="G260" s="7" t="s">
        <v>5596</v>
      </c>
      <c r="H260" s="3" t="s">
        <v>6608</v>
      </c>
      <c r="I260" s="3" t="s">
        <v>6609</v>
      </c>
      <c r="J260" s="3" t="s">
        <v>5536</v>
      </c>
      <c r="K260" s="3" t="s">
        <v>6610</v>
      </c>
      <c r="L260" s="8" t="str">
        <f>HYPERLINK("http://slimages.macys.com/is/image/MCY/14311832 ")</f>
        <v xml:space="preserve">http://slimages.macys.com/is/image/MCY/14311832 </v>
      </c>
    </row>
    <row r="261" spans="1:12" ht="24.75" x14ac:dyDescent="0.25">
      <c r="A261" s="6" t="s">
        <v>5086</v>
      </c>
      <c r="B261" s="3" t="s">
        <v>6606</v>
      </c>
      <c r="C261" s="4">
        <v>1</v>
      </c>
      <c r="D261" s="5">
        <v>24.99</v>
      </c>
      <c r="E261" s="4" t="s">
        <v>6607</v>
      </c>
      <c r="F261" s="3" t="s">
        <v>5552</v>
      </c>
      <c r="G261" s="7" t="s">
        <v>5598</v>
      </c>
      <c r="H261" s="3" t="s">
        <v>6608</v>
      </c>
      <c r="I261" s="3" t="s">
        <v>6609</v>
      </c>
      <c r="J261" s="3" t="s">
        <v>5536</v>
      </c>
      <c r="K261" s="3" t="s">
        <v>6610</v>
      </c>
      <c r="L261" s="8" t="str">
        <f>HYPERLINK("http://slimages.macys.com/is/image/MCY/14311832 ")</f>
        <v xml:space="preserve">http://slimages.macys.com/is/image/MCY/14311832 </v>
      </c>
    </row>
    <row r="262" spans="1:12" ht="24.75" x14ac:dyDescent="0.25">
      <c r="A262" s="6" t="s">
        <v>1050</v>
      </c>
      <c r="B262" s="3" t="s">
        <v>5088</v>
      </c>
      <c r="C262" s="4">
        <v>3</v>
      </c>
      <c r="D262" s="5">
        <v>53.97</v>
      </c>
      <c r="E262" s="4" t="s">
        <v>5089</v>
      </c>
      <c r="F262" s="3" t="s">
        <v>5532</v>
      </c>
      <c r="G262" s="7" t="s">
        <v>6862</v>
      </c>
      <c r="H262" s="3" t="s">
        <v>6794</v>
      </c>
      <c r="I262" s="3" t="s">
        <v>5090</v>
      </c>
      <c r="J262" s="3" t="s">
        <v>5536</v>
      </c>
      <c r="K262" s="3" t="s">
        <v>5587</v>
      </c>
      <c r="L262" s="8" t="str">
        <f t="shared" ref="L262:L268" si="3">HYPERLINK("http://slimages.macys.com/is/image/MCY/14442316 ")</f>
        <v xml:space="preserve">http://slimages.macys.com/is/image/MCY/14442316 </v>
      </c>
    </row>
    <row r="263" spans="1:12" ht="24.75" x14ac:dyDescent="0.25">
      <c r="A263" s="6" t="s">
        <v>1051</v>
      </c>
      <c r="B263" s="3" t="s">
        <v>5088</v>
      </c>
      <c r="C263" s="4">
        <v>2</v>
      </c>
      <c r="D263" s="5">
        <v>35.979999999999997</v>
      </c>
      <c r="E263" s="4" t="s">
        <v>5089</v>
      </c>
      <c r="F263" s="3" t="s">
        <v>5783</v>
      </c>
      <c r="G263" s="7" t="s">
        <v>5573</v>
      </c>
      <c r="H263" s="3" t="s">
        <v>6794</v>
      </c>
      <c r="I263" s="3" t="s">
        <v>5090</v>
      </c>
      <c r="J263" s="3" t="s">
        <v>5536</v>
      </c>
      <c r="K263" s="3" t="s">
        <v>5587</v>
      </c>
      <c r="L263" s="8" t="str">
        <f t="shared" si="3"/>
        <v xml:space="preserve">http://slimages.macys.com/is/image/MCY/14442316 </v>
      </c>
    </row>
    <row r="264" spans="1:12" ht="24.75" x14ac:dyDescent="0.25">
      <c r="A264" s="6" t="s">
        <v>1052</v>
      </c>
      <c r="B264" s="3" t="s">
        <v>5088</v>
      </c>
      <c r="C264" s="4">
        <v>6</v>
      </c>
      <c r="D264" s="5">
        <v>107.94</v>
      </c>
      <c r="E264" s="4" t="s">
        <v>5089</v>
      </c>
      <c r="F264" s="3" t="s">
        <v>5532</v>
      </c>
      <c r="G264" s="7" t="s">
        <v>5999</v>
      </c>
      <c r="H264" s="3" t="s">
        <v>6794</v>
      </c>
      <c r="I264" s="3" t="s">
        <v>5090</v>
      </c>
      <c r="J264" s="3" t="s">
        <v>5536</v>
      </c>
      <c r="K264" s="3" t="s">
        <v>5587</v>
      </c>
      <c r="L264" s="8" t="str">
        <f t="shared" si="3"/>
        <v xml:space="preserve">http://slimages.macys.com/is/image/MCY/14442316 </v>
      </c>
    </row>
    <row r="265" spans="1:12" ht="24.75" x14ac:dyDescent="0.25">
      <c r="A265" s="6" t="s">
        <v>1053</v>
      </c>
      <c r="B265" s="3" t="s">
        <v>5088</v>
      </c>
      <c r="C265" s="4">
        <v>1</v>
      </c>
      <c r="D265" s="5">
        <v>17.989999999999998</v>
      </c>
      <c r="E265" s="4" t="s">
        <v>5089</v>
      </c>
      <c r="F265" s="3" t="s">
        <v>5783</v>
      </c>
      <c r="G265" s="7" t="s">
        <v>6862</v>
      </c>
      <c r="H265" s="3" t="s">
        <v>6794</v>
      </c>
      <c r="I265" s="3" t="s">
        <v>5090</v>
      </c>
      <c r="J265" s="3" t="s">
        <v>5536</v>
      </c>
      <c r="K265" s="3" t="s">
        <v>5587</v>
      </c>
      <c r="L265" s="8" t="str">
        <f t="shared" si="3"/>
        <v xml:space="preserve">http://slimages.macys.com/is/image/MCY/14442316 </v>
      </c>
    </row>
    <row r="266" spans="1:12" ht="24.75" x14ac:dyDescent="0.25">
      <c r="A266" s="6" t="s">
        <v>1054</v>
      </c>
      <c r="B266" s="3" t="s">
        <v>5088</v>
      </c>
      <c r="C266" s="4">
        <v>2</v>
      </c>
      <c r="D266" s="5">
        <v>35.979999999999997</v>
      </c>
      <c r="E266" s="4" t="s">
        <v>5089</v>
      </c>
      <c r="F266" s="3" t="s">
        <v>5783</v>
      </c>
      <c r="G266" s="7" t="s">
        <v>6848</v>
      </c>
      <c r="H266" s="3" t="s">
        <v>6794</v>
      </c>
      <c r="I266" s="3" t="s">
        <v>5090</v>
      </c>
      <c r="J266" s="3" t="s">
        <v>5536</v>
      </c>
      <c r="K266" s="3" t="s">
        <v>5587</v>
      </c>
      <c r="L266" s="8" t="str">
        <f t="shared" si="3"/>
        <v xml:space="preserve">http://slimages.macys.com/is/image/MCY/14442316 </v>
      </c>
    </row>
    <row r="267" spans="1:12" ht="24.75" x14ac:dyDescent="0.25">
      <c r="A267" s="6" t="s">
        <v>5087</v>
      </c>
      <c r="B267" s="3" t="s">
        <v>5088</v>
      </c>
      <c r="C267" s="4">
        <v>8</v>
      </c>
      <c r="D267" s="5">
        <v>143.91999999999999</v>
      </c>
      <c r="E267" s="4" t="s">
        <v>5089</v>
      </c>
      <c r="F267" s="3" t="s">
        <v>5532</v>
      </c>
      <c r="G267" s="7" t="s">
        <v>6848</v>
      </c>
      <c r="H267" s="3" t="s">
        <v>6794</v>
      </c>
      <c r="I267" s="3" t="s">
        <v>5090</v>
      </c>
      <c r="J267" s="3" t="s">
        <v>5536</v>
      </c>
      <c r="K267" s="3" t="s">
        <v>5587</v>
      </c>
      <c r="L267" s="8" t="str">
        <f t="shared" si="3"/>
        <v xml:space="preserve">http://slimages.macys.com/is/image/MCY/14442316 </v>
      </c>
    </row>
    <row r="268" spans="1:12" ht="24.75" x14ac:dyDescent="0.25">
      <c r="A268" s="6" t="s">
        <v>1055</v>
      </c>
      <c r="B268" s="3" t="s">
        <v>5088</v>
      </c>
      <c r="C268" s="4">
        <v>2</v>
      </c>
      <c r="D268" s="5">
        <v>35.979999999999997</v>
      </c>
      <c r="E268" s="4" t="s">
        <v>5089</v>
      </c>
      <c r="F268" s="3" t="s">
        <v>5532</v>
      </c>
      <c r="G268" s="7" t="s">
        <v>5573</v>
      </c>
      <c r="H268" s="3" t="s">
        <v>6794</v>
      </c>
      <c r="I268" s="3" t="s">
        <v>5090</v>
      </c>
      <c r="J268" s="3" t="s">
        <v>5536</v>
      </c>
      <c r="K268" s="3" t="s">
        <v>5587</v>
      </c>
      <c r="L268" s="8" t="str">
        <f t="shared" si="3"/>
        <v xml:space="preserve">http://slimages.macys.com/is/image/MCY/14442316 </v>
      </c>
    </row>
    <row r="269" spans="1:12" ht="24.75" x14ac:dyDescent="0.25">
      <c r="A269" s="6" t="s">
        <v>4359</v>
      </c>
      <c r="B269" s="3" t="s">
        <v>4357</v>
      </c>
      <c r="C269" s="4">
        <v>7</v>
      </c>
      <c r="D269" s="5">
        <v>209.93</v>
      </c>
      <c r="E269" s="4">
        <v>100015428</v>
      </c>
      <c r="F269" s="3" t="s">
        <v>5578</v>
      </c>
      <c r="G269" s="7" t="s">
        <v>5596</v>
      </c>
      <c r="H269" s="3" t="s">
        <v>6003</v>
      </c>
      <c r="I269" s="3" t="s">
        <v>6004</v>
      </c>
      <c r="J269" s="3" t="s">
        <v>5536</v>
      </c>
      <c r="K269" s="3" t="s">
        <v>6494</v>
      </c>
      <c r="L269" s="8" t="str">
        <f t="shared" ref="L269:L277" si="4">HYPERLINK("http://slimages.macys.com/is/image/MCY/8898603 ")</f>
        <v xml:space="preserve">http://slimages.macys.com/is/image/MCY/8898603 </v>
      </c>
    </row>
    <row r="270" spans="1:12" ht="24.75" x14ac:dyDescent="0.25">
      <c r="A270" s="6" t="s">
        <v>4364</v>
      </c>
      <c r="B270" s="3" t="s">
        <v>4357</v>
      </c>
      <c r="C270" s="4">
        <v>7</v>
      </c>
      <c r="D270" s="5">
        <v>209.93</v>
      </c>
      <c r="E270" s="4">
        <v>100015428</v>
      </c>
      <c r="F270" s="3" t="s">
        <v>5578</v>
      </c>
      <c r="G270" s="7" t="s">
        <v>5562</v>
      </c>
      <c r="H270" s="3" t="s">
        <v>6003</v>
      </c>
      <c r="I270" s="3" t="s">
        <v>6004</v>
      </c>
      <c r="J270" s="3" t="s">
        <v>5536</v>
      </c>
      <c r="K270" s="3" t="s">
        <v>6494</v>
      </c>
      <c r="L270" s="8" t="str">
        <f t="shared" si="4"/>
        <v xml:space="preserve">http://slimages.macys.com/is/image/MCY/8898603 </v>
      </c>
    </row>
    <row r="271" spans="1:12" ht="24.75" x14ac:dyDescent="0.25">
      <c r="A271" s="6" t="s">
        <v>4363</v>
      </c>
      <c r="B271" s="3" t="s">
        <v>4357</v>
      </c>
      <c r="C271" s="4">
        <v>3</v>
      </c>
      <c r="D271" s="5">
        <v>89.97</v>
      </c>
      <c r="E271" s="4">
        <v>100015428</v>
      </c>
      <c r="F271" s="3" t="s">
        <v>5820</v>
      </c>
      <c r="G271" s="7" t="s">
        <v>5533</v>
      </c>
      <c r="H271" s="3" t="s">
        <v>6003</v>
      </c>
      <c r="I271" s="3" t="s">
        <v>6004</v>
      </c>
      <c r="J271" s="3" t="s">
        <v>5536</v>
      </c>
      <c r="K271" s="3" t="s">
        <v>6494</v>
      </c>
      <c r="L271" s="8" t="str">
        <f t="shared" si="4"/>
        <v xml:space="preserve">http://slimages.macys.com/is/image/MCY/8898603 </v>
      </c>
    </row>
    <row r="272" spans="1:12" ht="24.75" x14ac:dyDescent="0.25">
      <c r="A272" s="6" t="s">
        <v>1056</v>
      </c>
      <c r="B272" s="3" t="s">
        <v>4357</v>
      </c>
      <c r="C272" s="4">
        <v>6</v>
      </c>
      <c r="D272" s="5">
        <v>179.94</v>
      </c>
      <c r="E272" s="4">
        <v>100015428</v>
      </c>
      <c r="F272" s="3" t="s">
        <v>5578</v>
      </c>
      <c r="G272" s="7" t="s">
        <v>5533</v>
      </c>
      <c r="H272" s="3" t="s">
        <v>6003</v>
      </c>
      <c r="I272" s="3" t="s">
        <v>6004</v>
      </c>
      <c r="J272" s="3" t="s">
        <v>5536</v>
      </c>
      <c r="K272" s="3" t="s">
        <v>6494</v>
      </c>
      <c r="L272" s="8" t="str">
        <f t="shared" si="4"/>
        <v xml:space="preserve">http://slimages.macys.com/is/image/MCY/8898603 </v>
      </c>
    </row>
    <row r="273" spans="1:12" ht="24.75" x14ac:dyDescent="0.25">
      <c r="A273" s="6" t="s">
        <v>4358</v>
      </c>
      <c r="B273" s="3" t="s">
        <v>4357</v>
      </c>
      <c r="C273" s="4">
        <v>2</v>
      </c>
      <c r="D273" s="5">
        <v>59.98</v>
      </c>
      <c r="E273" s="4">
        <v>100015428</v>
      </c>
      <c r="F273" s="3" t="s">
        <v>5578</v>
      </c>
      <c r="G273" s="7" t="s">
        <v>5560</v>
      </c>
      <c r="H273" s="3" t="s">
        <v>6003</v>
      </c>
      <c r="I273" s="3" t="s">
        <v>6004</v>
      </c>
      <c r="J273" s="3" t="s">
        <v>5536</v>
      </c>
      <c r="K273" s="3" t="s">
        <v>6494</v>
      </c>
      <c r="L273" s="8" t="str">
        <f t="shared" si="4"/>
        <v xml:space="preserve">http://slimages.macys.com/is/image/MCY/8898603 </v>
      </c>
    </row>
    <row r="274" spans="1:12" ht="24.75" x14ac:dyDescent="0.25">
      <c r="A274" s="6" t="s">
        <v>4367</v>
      </c>
      <c r="B274" s="3" t="s">
        <v>4357</v>
      </c>
      <c r="C274" s="4">
        <v>4</v>
      </c>
      <c r="D274" s="5">
        <v>119.96</v>
      </c>
      <c r="E274" s="4">
        <v>100015428</v>
      </c>
      <c r="F274" s="3" t="s">
        <v>5578</v>
      </c>
      <c r="G274" s="7" t="s">
        <v>5598</v>
      </c>
      <c r="H274" s="3" t="s">
        <v>6003</v>
      </c>
      <c r="I274" s="3" t="s">
        <v>6004</v>
      </c>
      <c r="J274" s="3" t="s">
        <v>5536</v>
      </c>
      <c r="K274" s="3" t="s">
        <v>6494</v>
      </c>
      <c r="L274" s="8" t="str">
        <f t="shared" si="4"/>
        <v xml:space="preserve">http://slimages.macys.com/is/image/MCY/8898603 </v>
      </c>
    </row>
    <row r="275" spans="1:12" ht="24.75" x14ac:dyDescent="0.25">
      <c r="A275" s="6" t="s">
        <v>1057</v>
      </c>
      <c r="B275" s="3" t="s">
        <v>4357</v>
      </c>
      <c r="C275" s="4">
        <v>2</v>
      </c>
      <c r="D275" s="5">
        <v>59.98</v>
      </c>
      <c r="E275" s="4">
        <v>100015428</v>
      </c>
      <c r="F275" s="3" t="s">
        <v>5820</v>
      </c>
      <c r="G275" s="7" t="s">
        <v>5596</v>
      </c>
      <c r="H275" s="3" t="s">
        <v>6003</v>
      </c>
      <c r="I275" s="3" t="s">
        <v>6004</v>
      </c>
      <c r="J275" s="3" t="s">
        <v>5536</v>
      </c>
      <c r="K275" s="3" t="s">
        <v>6494</v>
      </c>
      <c r="L275" s="8" t="str">
        <f t="shared" si="4"/>
        <v xml:space="preserve">http://slimages.macys.com/is/image/MCY/8898603 </v>
      </c>
    </row>
    <row r="276" spans="1:12" ht="24.75" x14ac:dyDescent="0.25">
      <c r="A276" s="6" t="s">
        <v>4366</v>
      </c>
      <c r="B276" s="3" t="s">
        <v>4357</v>
      </c>
      <c r="C276" s="4">
        <v>1</v>
      </c>
      <c r="D276" s="5">
        <v>29.99</v>
      </c>
      <c r="E276" s="4">
        <v>100015428</v>
      </c>
      <c r="F276" s="3" t="s">
        <v>5820</v>
      </c>
      <c r="G276" s="7" t="s">
        <v>5582</v>
      </c>
      <c r="H276" s="3" t="s">
        <v>6003</v>
      </c>
      <c r="I276" s="3" t="s">
        <v>6004</v>
      </c>
      <c r="J276" s="3" t="s">
        <v>5536</v>
      </c>
      <c r="K276" s="3" t="s">
        <v>6494</v>
      </c>
      <c r="L276" s="8" t="str">
        <f t="shared" si="4"/>
        <v xml:space="preserve">http://slimages.macys.com/is/image/MCY/8898603 </v>
      </c>
    </row>
    <row r="277" spans="1:12" ht="24.75" x14ac:dyDescent="0.25">
      <c r="A277" s="6" t="s">
        <v>4360</v>
      </c>
      <c r="B277" s="3" t="s">
        <v>4357</v>
      </c>
      <c r="C277" s="4">
        <v>1</v>
      </c>
      <c r="D277" s="5">
        <v>29.99</v>
      </c>
      <c r="E277" s="4">
        <v>100015428</v>
      </c>
      <c r="F277" s="3" t="s">
        <v>5540</v>
      </c>
      <c r="G277" s="7" t="s">
        <v>5598</v>
      </c>
      <c r="H277" s="3" t="s">
        <v>6003</v>
      </c>
      <c r="I277" s="3" t="s">
        <v>6004</v>
      </c>
      <c r="J277" s="3" t="s">
        <v>5536</v>
      </c>
      <c r="K277" s="3" t="s">
        <v>6494</v>
      </c>
      <c r="L277" s="8" t="str">
        <f t="shared" si="4"/>
        <v xml:space="preserve">http://slimages.macys.com/is/image/MCY/8898603 </v>
      </c>
    </row>
    <row r="278" spans="1:12" ht="24.75" x14ac:dyDescent="0.25">
      <c r="A278" s="6" t="s">
        <v>1058</v>
      </c>
      <c r="B278" s="3" t="s">
        <v>1059</v>
      </c>
      <c r="C278" s="4">
        <v>1</v>
      </c>
      <c r="D278" s="5">
        <v>24.99</v>
      </c>
      <c r="E278" s="4">
        <v>100006488</v>
      </c>
      <c r="F278" s="3" t="s">
        <v>5540</v>
      </c>
      <c r="G278" s="7" t="s">
        <v>5596</v>
      </c>
      <c r="H278" s="3" t="s">
        <v>6065</v>
      </c>
      <c r="I278" s="3" t="s">
        <v>6066</v>
      </c>
      <c r="J278" s="3" t="s">
        <v>5536</v>
      </c>
      <c r="K278" s="3" t="s">
        <v>5864</v>
      </c>
      <c r="L278" s="8" t="str">
        <f>HYPERLINK("http://slimages.macys.com/is/image/MCY/8920856 ")</f>
        <v xml:space="preserve">http://slimages.macys.com/is/image/MCY/8920856 </v>
      </c>
    </row>
    <row r="279" spans="1:12" ht="24.75" x14ac:dyDescent="0.25">
      <c r="A279" s="6" t="s">
        <v>1060</v>
      </c>
      <c r="B279" s="3" t="s">
        <v>1061</v>
      </c>
      <c r="C279" s="4">
        <v>2</v>
      </c>
      <c r="D279" s="5">
        <v>40</v>
      </c>
      <c r="E279" s="4">
        <v>100019358</v>
      </c>
      <c r="F279" s="3" t="s">
        <v>5783</v>
      </c>
      <c r="G279" s="7" t="s">
        <v>1062</v>
      </c>
      <c r="H279" s="3" t="s">
        <v>5825</v>
      </c>
      <c r="I279" s="3" t="s">
        <v>5826</v>
      </c>
      <c r="J279" s="3" t="s">
        <v>5536</v>
      </c>
      <c r="K279" s="3" t="s">
        <v>5594</v>
      </c>
      <c r="L279" s="8" t="str">
        <f>HYPERLINK("http://slimages.macys.com/is/image/MCY/9394966 ")</f>
        <v xml:space="preserve">http://slimages.macys.com/is/image/MCY/9394966 </v>
      </c>
    </row>
    <row r="280" spans="1:12" ht="24.75" x14ac:dyDescent="0.25">
      <c r="A280" s="6" t="s">
        <v>1063</v>
      </c>
      <c r="B280" s="3" t="s">
        <v>5107</v>
      </c>
      <c r="C280" s="4">
        <v>2</v>
      </c>
      <c r="D280" s="5">
        <v>35.979999999999997</v>
      </c>
      <c r="E280" s="4" t="s">
        <v>5108</v>
      </c>
      <c r="F280" s="3" t="s">
        <v>5532</v>
      </c>
      <c r="G280" s="7" t="s">
        <v>5573</v>
      </c>
      <c r="H280" s="3" t="s">
        <v>6794</v>
      </c>
      <c r="I280" s="3" t="s">
        <v>5090</v>
      </c>
      <c r="J280" s="3" t="s">
        <v>5536</v>
      </c>
      <c r="K280" s="3" t="s">
        <v>5587</v>
      </c>
      <c r="L280" s="8" t="str">
        <f t="shared" ref="L280:L292" si="5">HYPERLINK("http://slimages.macys.com/is/image/MCY/14442235 ")</f>
        <v xml:space="preserve">http://slimages.macys.com/is/image/MCY/14442235 </v>
      </c>
    </row>
    <row r="281" spans="1:12" ht="24.75" x14ac:dyDescent="0.25">
      <c r="A281" s="6" t="s">
        <v>1064</v>
      </c>
      <c r="B281" s="3" t="s">
        <v>5107</v>
      </c>
      <c r="C281" s="4">
        <v>1</v>
      </c>
      <c r="D281" s="5">
        <v>17.989999999999998</v>
      </c>
      <c r="E281" s="4" t="s">
        <v>5108</v>
      </c>
      <c r="F281" s="3" t="s">
        <v>5540</v>
      </c>
      <c r="G281" s="7" t="s">
        <v>3886</v>
      </c>
      <c r="H281" s="3" t="s">
        <v>6794</v>
      </c>
      <c r="I281" s="3" t="s">
        <v>5090</v>
      </c>
      <c r="J281" s="3" t="s">
        <v>5536</v>
      </c>
      <c r="K281" s="3" t="s">
        <v>5587</v>
      </c>
      <c r="L281" s="8" t="str">
        <f t="shared" si="5"/>
        <v xml:space="preserve">http://slimages.macys.com/is/image/MCY/14442235 </v>
      </c>
    </row>
    <row r="282" spans="1:12" ht="24.75" x14ac:dyDescent="0.25">
      <c r="A282" s="6" t="s">
        <v>1065</v>
      </c>
      <c r="B282" s="3" t="s">
        <v>5107</v>
      </c>
      <c r="C282" s="4">
        <v>6</v>
      </c>
      <c r="D282" s="5">
        <v>107.94</v>
      </c>
      <c r="E282" s="4" t="s">
        <v>5108</v>
      </c>
      <c r="F282" s="3" t="s">
        <v>5540</v>
      </c>
      <c r="G282" s="7" t="s">
        <v>5999</v>
      </c>
      <c r="H282" s="3" t="s">
        <v>6794</v>
      </c>
      <c r="I282" s="3" t="s">
        <v>5090</v>
      </c>
      <c r="J282" s="3" t="s">
        <v>5536</v>
      </c>
      <c r="K282" s="3" t="s">
        <v>5587</v>
      </c>
      <c r="L282" s="8" t="str">
        <f t="shared" si="5"/>
        <v xml:space="preserve">http://slimages.macys.com/is/image/MCY/14442235 </v>
      </c>
    </row>
    <row r="283" spans="1:12" ht="24.75" x14ac:dyDescent="0.25">
      <c r="A283" s="6" t="s">
        <v>1066</v>
      </c>
      <c r="B283" s="3" t="s">
        <v>5107</v>
      </c>
      <c r="C283" s="4">
        <v>3</v>
      </c>
      <c r="D283" s="5">
        <v>53.97</v>
      </c>
      <c r="E283" s="4" t="s">
        <v>5108</v>
      </c>
      <c r="F283" s="3" t="s">
        <v>5540</v>
      </c>
      <c r="G283" s="7" t="s">
        <v>5573</v>
      </c>
      <c r="H283" s="3" t="s">
        <v>6794</v>
      </c>
      <c r="I283" s="3" t="s">
        <v>5090</v>
      </c>
      <c r="J283" s="3" t="s">
        <v>5536</v>
      </c>
      <c r="K283" s="3" t="s">
        <v>5587</v>
      </c>
      <c r="L283" s="8" t="str">
        <f t="shared" si="5"/>
        <v xml:space="preserve">http://slimages.macys.com/is/image/MCY/14442235 </v>
      </c>
    </row>
    <row r="284" spans="1:12" ht="24.75" x14ac:dyDescent="0.25">
      <c r="A284" s="6" t="s">
        <v>5110</v>
      </c>
      <c r="B284" s="3" t="s">
        <v>5107</v>
      </c>
      <c r="C284" s="4">
        <v>5</v>
      </c>
      <c r="D284" s="5">
        <v>89.95</v>
      </c>
      <c r="E284" s="4" t="s">
        <v>5108</v>
      </c>
      <c r="F284" s="3" t="s">
        <v>5532</v>
      </c>
      <c r="G284" s="7" t="s">
        <v>6848</v>
      </c>
      <c r="H284" s="3" t="s">
        <v>6794</v>
      </c>
      <c r="I284" s="3" t="s">
        <v>5090</v>
      </c>
      <c r="J284" s="3" t="s">
        <v>5536</v>
      </c>
      <c r="K284" s="3" t="s">
        <v>5587</v>
      </c>
      <c r="L284" s="8" t="str">
        <f t="shared" si="5"/>
        <v xml:space="preserve">http://slimages.macys.com/is/image/MCY/14442235 </v>
      </c>
    </row>
    <row r="285" spans="1:12" ht="24.75" x14ac:dyDescent="0.25">
      <c r="A285" s="6" t="s">
        <v>5111</v>
      </c>
      <c r="B285" s="3" t="s">
        <v>5107</v>
      </c>
      <c r="C285" s="4">
        <v>6</v>
      </c>
      <c r="D285" s="5">
        <v>107.94</v>
      </c>
      <c r="E285" s="4" t="s">
        <v>5108</v>
      </c>
      <c r="F285" s="3" t="s">
        <v>5783</v>
      </c>
      <c r="G285" s="7" t="s">
        <v>6848</v>
      </c>
      <c r="H285" s="3" t="s">
        <v>6794</v>
      </c>
      <c r="I285" s="3" t="s">
        <v>5090</v>
      </c>
      <c r="J285" s="3" t="s">
        <v>5536</v>
      </c>
      <c r="K285" s="3" t="s">
        <v>5587</v>
      </c>
      <c r="L285" s="8" t="str">
        <f t="shared" si="5"/>
        <v xml:space="preserve">http://slimages.macys.com/is/image/MCY/14442235 </v>
      </c>
    </row>
    <row r="286" spans="1:12" ht="24.75" x14ac:dyDescent="0.25">
      <c r="A286" s="6" t="s">
        <v>1067</v>
      </c>
      <c r="B286" s="3" t="s">
        <v>5107</v>
      </c>
      <c r="C286" s="4">
        <v>2</v>
      </c>
      <c r="D286" s="5">
        <v>35.979999999999997</v>
      </c>
      <c r="E286" s="4" t="s">
        <v>5108</v>
      </c>
      <c r="F286" s="3" t="s">
        <v>5783</v>
      </c>
      <c r="G286" s="7" t="s">
        <v>3886</v>
      </c>
      <c r="H286" s="3" t="s">
        <v>6794</v>
      </c>
      <c r="I286" s="3" t="s">
        <v>5090</v>
      </c>
      <c r="J286" s="3" t="s">
        <v>5536</v>
      </c>
      <c r="K286" s="3" t="s">
        <v>5587</v>
      </c>
      <c r="L286" s="8" t="str">
        <f t="shared" si="5"/>
        <v xml:space="preserve">http://slimages.macys.com/is/image/MCY/14442235 </v>
      </c>
    </row>
    <row r="287" spans="1:12" ht="24.75" x14ac:dyDescent="0.25">
      <c r="A287" s="6" t="s">
        <v>5106</v>
      </c>
      <c r="B287" s="3" t="s">
        <v>5107</v>
      </c>
      <c r="C287" s="4">
        <v>4</v>
      </c>
      <c r="D287" s="5">
        <v>71.959999999999994</v>
      </c>
      <c r="E287" s="4" t="s">
        <v>5108</v>
      </c>
      <c r="F287" s="3" t="s">
        <v>5783</v>
      </c>
      <c r="G287" s="7" t="s">
        <v>5573</v>
      </c>
      <c r="H287" s="3" t="s">
        <v>6794</v>
      </c>
      <c r="I287" s="3" t="s">
        <v>5090</v>
      </c>
      <c r="J287" s="3" t="s">
        <v>5536</v>
      </c>
      <c r="K287" s="3" t="s">
        <v>5587</v>
      </c>
      <c r="L287" s="8" t="str">
        <f t="shared" si="5"/>
        <v xml:space="preserve">http://slimages.macys.com/is/image/MCY/14442235 </v>
      </c>
    </row>
    <row r="288" spans="1:12" ht="24.75" x14ac:dyDescent="0.25">
      <c r="A288" s="6" t="s">
        <v>1068</v>
      </c>
      <c r="B288" s="3" t="s">
        <v>5107</v>
      </c>
      <c r="C288" s="4">
        <v>9</v>
      </c>
      <c r="D288" s="5">
        <v>161.91</v>
      </c>
      <c r="E288" s="4" t="s">
        <v>5108</v>
      </c>
      <c r="F288" s="3" t="s">
        <v>5532</v>
      </c>
      <c r="G288" s="7" t="s">
        <v>5999</v>
      </c>
      <c r="H288" s="3" t="s">
        <v>6794</v>
      </c>
      <c r="I288" s="3" t="s">
        <v>5090</v>
      </c>
      <c r="J288" s="3" t="s">
        <v>5536</v>
      </c>
      <c r="K288" s="3" t="s">
        <v>5587</v>
      </c>
      <c r="L288" s="8" t="str">
        <f t="shared" si="5"/>
        <v xml:space="preserve">http://slimages.macys.com/is/image/MCY/14442235 </v>
      </c>
    </row>
    <row r="289" spans="1:12" ht="24.75" x14ac:dyDescent="0.25">
      <c r="A289" s="6" t="s">
        <v>1069</v>
      </c>
      <c r="B289" s="3" t="s">
        <v>5107</v>
      </c>
      <c r="C289" s="4">
        <v>7</v>
      </c>
      <c r="D289" s="5">
        <v>125.93</v>
      </c>
      <c r="E289" s="4" t="s">
        <v>5108</v>
      </c>
      <c r="F289" s="3" t="s">
        <v>5783</v>
      </c>
      <c r="G289" s="7" t="s">
        <v>5999</v>
      </c>
      <c r="H289" s="3" t="s">
        <v>6794</v>
      </c>
      <c r="I289" s="3" t="s">
        <v>5090</v>
      </c>
      <c r="J289" s="3" t="s">
        <v>5536</v>
      </c>
      <c r="K289" s="3" t="s">
        <v>5587</v>
      </c>
      <c r="L289" s="8" t="str">
        <f t="shared" si="5"/>
        <v xml:space="preserve">http://slimages.macys.com/is/image/MCY/14442235 </v>
      </c>
    </row>
    <row r="290" spans="1:12" ht="24.75" x14ac:dyDescent="0.25">
      <c r="A290" s="6" t="s">
        <v>1070</v>
      </c>
      <c r="B290" s="3" t="s">
        <v>5107</v>
      </c>
      <c r="C290" s="4">
        <v>1</v>
      </c>
      <c r="D290" s="5">
        <v>17.989999999999998</v>
      </c>
      <c r="E290" s="4" t="s">
        <v>5108</v>
      </c>
      <c r="F290" s="3" t="s">
        <v>5783</v>
      </c>
      <c r="G290" s="7" t="s">
        <v>6862</v>
      </c>
      <c r="H290" s="3" t="s">
        <v>6794</v>
      </c>
      <c r="I290" s="3" t="s">
        <v>5090</v>
      </c>
      <c r="J290" s="3" t="s">
        <v>5536</v>
      </c>
      <c r="K290" s="3" t="s">
        <v>5587</v>
      </c>
      <c r="L290" s="8" t="str">
        <f t="shared" si="5"/>
        <v xml:space="preserve">http://slimages.macys.com/is/image/MCY/14442235 </v>
      </c>
    </row>
    <row r="291" spans="1:12" ht="24.75" x14ac:dyDescent="0.25">
      <c r="A291" s="6" t="s">
        <v>1071</v>
      </c>
      <c r="B291" s="3" t="s">
        <v>5107</v>
      </c>
      <c r="C291" s="4">
        <v>6</v>
      </c>
      <c r="D291" s="5">
        <v>107.94</v>
      </c>
      <c r="E291" s="4" t="s">
        <v>5108</v>
      </c>
      <c r="F291" s="3" t="s">
        <v>5540</v>
      </c>
      <c r="G291" s="7" t="s">
        <v>6848</v>
      </c>
      <c r="H291" s="3" t="s">
        <v>6794</v>
      </c>
      <c r="I291" s="3" t="s">
        <v>5090</v>
      </c>
      <c r="J291" s="3" t="s">
        <v>5536</v>
      </c>
      <c r="K291" s="3" t="s">
        <v>5587</v>
      </c>
      <c r="L291" s="8" t="str">
        <f t="shared" si="5"/>
        <v xml:space="preserve">http://slimages.macys.com/is/image/MCY/14442235 </v>
      </c>
    </row>
    <row r="292" spans="1:12" ht="24.75" x14ac:dyDescent="0.25">
      <c r="A292" s="6" t="s">
        <v>1072</v>
      </c>
      <c r="B292" s="3" t="s">
        <v>5107</v>
      </c>
      <c r="C292" s="4">
        <v>3</v>
      </c>
      <c r="D292" s="5">
        <v>53.97</v>
      </c>
      <c r="E292" s="4" t="s">
        <v>5108</v>
      </c>
      <c r="F292" s="3" t="s">
        <v>5532</v>
      </c>
      <c r="G292" s="7" t="s">
        <v>6862</v>
      </c>
      <c r="H292" s="3" t="s">
        <v>6794</v>
      </c>
      <c r="I292" s="3" t="s">
        <v>5090</v>
      </c>
      <c r="J292" s="3" t="s">
        <v>5536</v>
      </c>
      <c r="K292" s="3" t="s">
        <v>5587</v>
      </c>
      <c r="L292" s="8" t="str">
        <f t="shared" si="5"/>
        <v xml:space="preserve">http://slimages.macys.com/is/image/MCY/14442235 </v>
      </c>
    </row>
    <row r="293" spans="1:12" ht="24.75" x14ac:dyDescent="0.25">
      <c r="A293" s="6" t="s">
        <v>3294</v>
      </c>
      <c r="B293" s="3" t="s">
        <v>3295</v>
      </c>
      <c r="C293" s="4">
        <v>1</v>
      </c>
      <c r="D293" s="5">
        <v>26</v>
      </c>
      <c r="E293" s="4">
        <v>10043217</v>
      </c>
      <c r="F293" s="3" t="s">
        <v>5783</v>
      </c>
      <c r="G293" s="7" t="s">
        <v>5598</v>
      </c>
      <c r="H293" s="3" t="s">
        <v>6492</v>
      </c>
      <c r="I293" s="3" t="s">
        <v>6790</v>
      </c>
      <c r="J293" s="3" t="s">
        <v>5536</v>
      </c>
      <c r="K293" s="3" t="s">
        <v>5594</v>
      </c>
      <c r="L293" s="8" t="str">
        <f>HYPERLINK("http://slimages.macys.com/is/image/MCY/13891122 ")</f>
        <v xml:space="preserve">http://slimages.macys.com/is/image/MCY/13891122 </v>
      </c>
    </row>
    <row r="294" spans="1:12" ht="24.75" x14ac:dyDescent="0.25">
      <c r="A294" s="6" t="s">
        <v>1073</v>
      </c>
      <c r="B294" s="3" t="s">
        <v>2402</v>
      </c>
      <c r="C294" s="4">
        <v>1</v>
      </c>
      <c r="D294" s="5">
        <v>29.99</v>
      </c>
      <c r="E294" s="4">
        <v>100018716</v>
      </c>
      <c r="F294" s="3" t="s">
        <v>5964</v>
      </c>
      <c r="G294" s="7" t="s">
        <v>5799</v>
      </c>
      <c r="H294" s="3" t="s">
        <v>6003</v>
      </c>
      <c r="I294" s="3" t="s">
        <v>6004</v>
      </c>
      <c r="J294" s="3" t="s">
        <v>5536</v>
      </c>
      <c r="K294" s="3" t="s">
        <v>5553</v>
      </c>
      <c r="L294" s="8" t="str">
        <f>HYPERLINK("http://slimages.macys.com/is/image/MCY/9591441 ")</f>
        <v xml:space="preserve">http://slimages.macys.com/is/image/MCY/9591441 </v>
      </c>
    </row>
    <row r="295" spans="1:12" ht="24.75" x14ac:dyDescent="0.25">
      <c r="A295" s="6" t="s">
        <v>1074</v>
      </c>
      <c r="B295" s="3" t="s">
        <v>1075</v>
      </c>
      <c r="C295" s="4">
        <v>1</v>
      </c>
      <c r="D295" s="5">
        <v>17.77</v>
      </c>
      <c r="E295" s="4" t="s">
        <v>1076</v>
      </c>
      <c r="F295" s="3" t="s">
        <v>5820</v>
      </c>
      <c r="G295" s="7"/>
      <c r="H295" s="3" t="s">
        <v>6026</v>
      </c>
      <c r="I295" s="3" t="s">
        <v>6646</v>
      </c>
      <c r="J295" s="3" t="s">
        <v>5536</v>
      </c>
      <c r="K295" s="3" t="s">
        <v>5574</v>
      </c>
      <c r="L295" s="8" t="str">
        <f>HYPERLINK("http://slimages.macys.com/is/image/MCY/13038051 ")</f>
        <v xml:space="preserve">http://slimages.macys.com/is/image/MCY/13038051 </v>
      </c>
    </row>
    <row r="296" spans="1:12" x14ac:dyDescent="0.25">
      <c r="A296" s="6" t="s">
        <v>1077</v>
      </c>
      <c r="B296" s="3" t="s">
        <v>1078</v>
      </c>
      <c r="C296" s="4">
        <v>1</v>
      </c>
      <c r="D296" s="5">
        <v>29.99</v>
      </c>
      <c r="E296" s="4">
        <v>100013377</v>
      </c>
      <c r="F296" s="3" t="s">
        <v>6335</v>
      </c>
      <c r="G296" s="7" t="s">
        <v>5560</v>
      </c>
      <c r="H296" s="3" t="s">
        <v>6003</v>
      </c>
      <c r="I296" s="3" t="s">
        <v>6004</v>
      </c>
      <c r="J296" s="3" t="s">
        <v>5536</v>
      </c>
      <c r="K296" s="3" t="s">
        <v>1079</v>
      </c>
      <c r="L296" s="8" t="str">
        <f>HYPERLINK("http://slimages.macys.com/is/image/MCY/11380655 ")</f>
        <v xml:space="preserve">http://slimages.macys.com/is/image/MCY/11380655 </v>
      </c>
    </row>
    <row r="297" spans="1:12" ht="24.75" x14ac:dyDescent="0.25">
      <c r="A297" s="6" t="s">
        <v>1080</v>
      </c>
      <c r="B297" s="3" t="s">
        <v>1081</v>
      </c>
      <c r="C297" s="4">
        <v>1</v>
      </c>
      <c r="D297" s="5">
        <v>27.99</v>
      </c>
      <c r="E297" s="4">
        <v>10007799300</v>
      </c>
      <c r="F297" s="3" t="s">
        <v>5625</v>
      </c>
      <c r="G297" s="7" t="s">
        <v>6252</v>
      </c>
      <c r="H297" s="3" t="s">
        <v>6652</v>
      </c>
      <c r="I297" s="3" t="s">
        <v>6653</v>
      </c>
      <c r="J297" s="3" t="s">
        <v>5536</v>
      </c>
      <c r="K297" s="3" t="s">
        <v>6701</v>
      </c>
      <c r="L297" s="8" t="str">
        <f>HYPERLINK("http://slimages.macys.com/is/image/MCY/14977220 ")</f>
        <v xml:space="preserve">http://slimages.macys.com/is/image/MCY/14977220 </v>
      </c>
    </row>
    <row r="298" spans="1:12" ht="24.75" x14ac:dyDescent="0.25">
      <c r="A298" s="6" t="s">
        <v>1082</v>
      </c>
      <c r="B298" s="3" t="s">
        <v>6651</v>
      </c>
      <c r="C298" s="4">
        <v>2</v>
      </c>
      <c r="D298" s="5">
        <v>55.98</v>
      </c>
      <c r="E298" s="4">
        <v>10008460800</v>
      </c>
      <c r="F298" s="3" t="s">
        <v>5661</v>
      </c>
      <c r="G298" s="7" t="s">
        <v>6252</v>
      </c>
      <c r="H298" s="3" t="s">
        <v>6652</v>
      </c>
      <c r="I298" s="3" t="s">
        <v>6653</v>
      </c>
      <c r="J298" s="3" t="s">
        <v>5536</v>
      </c>
      <c r="K298" s="3" t="s">
        <v>5587</v>
      </c>
      <c r="L298" s="8" t="str">
        <f>HYPERLINK("http://slimages.macys.com/is/image/MCY/15924999 ")</f>
        <v xml:space="preserve">http://slimages.macys.com/is/image/MCY/15924999 </v>
      </c>
    </row>
    <row r="299" spans="1:12" ht="24.75" x14ac:dyDescent="0.25">
      <c r="A299" s="6" t="s">
        <v>1083</v>
      </c>
      <c r="B299" s="3" t="s">
        <v>1084</v>
      </c>
      <c r="C299" s="4">
        <v>1</v>
      </c>
      <c r="D299" s="5">
        <v>20</v>
      </c>
      <c r="E299" s="4" t="s">
        <v>1085</v>
      </c>
      <c r="F299" s="3" t="s">
        <v>1086</v>
      </c>
      <c r="G299" s="7" t="s">
        <v>5598</v>
      </c>
      <c r="H299" s="3" t="s">
        <v>6492</v>
      </c>
      <c r="I299" s="3" t="s">
        <v>4427</v>
      </c>
      <c r="J299" s="3" t="s">
        <v>5536</v>
      </c>
      <c r="K299" s="3" t="s">
        <v>5549</v>
      </c>
      <c r="L299" s="8" t="str">
        <f>HYPERLINK("http://slimages.macys.com/is/image/MCY/13400695 ")</f>
        <v xml:space="preserve">http://slimages.macys.com/is/image/MCY/13400695 </v>
      </c>
    </row>
    <row r="300" spans="1:12" ht="24.75" x14ac:dyDescent="0.25">
      <c r="A300" s="6" t="s">
        <v>1087</v>
      </c>
      <c r="B300" s="3" t="s">
        <v>1088</v>
      </c>
      <c r="C300" s="4">
        <v>1</v>
      </c>
      <c r="D300" s="5">
        <v>24</v>
      </c>
      <c r="E300" s="4" t="s">
        <v>1089</v>
      </c>
      <c r="F300" s="3" t="s">
        <v>3299</v>
      </c>
      <c r="G300" s="7" t="s">
        <v>5898</v>
      </c>
      <c r="H300" s="3" t="s">
        <v>4333</v>
      </c>
      <c r="I300" s="3" t="s">
        <v>528</v>
      </c>
      <c r="J300" s="3" t="s">
        <v>5536</v>
      </c>
      <c r="K300" s="3" t="s">
        <v>5984</v>
      </c>
      <c r="L300" s="8" t="str">
        <f>HYPERLINK("http://slimages.macys.com/is/image/MCY/15351103 ")</f>
        <v xml:space="preserve">http://slimages.macys.com/is/image/MCY/15351103 </v>
      </c>
    </row>
    <row r="301" spans="1:12" ht="24.75" x14ac:dyDescent="0.25">
      <c r="A301" s="6" t="s">
        <v>1090</v>
      </c>
      <c r="B301" s="3" t="s">
        <v>1091</v>
      </c>
      <c r="C301" s="4">
        <v>1</v>
      </c>
      <c r="D301" s="5">
        <v>20</v>
      </c>
      <c r="E301" s="4" t="s">
        <v>1092</v>
      </c>
      <c r="F301" s="3" t="s">
        <v>5625</v>
      </c>
      <c r="G301" s="7"/>
      <c r="H301" s="3" t="s">
        <v>4431</v>
      </c>
      <c r="I301" s="3" t="s">
        <v>517</v>
      </c>
      <c r="J301" s="3" t="s">
        <v>5536</v>
      </c>
      <c r="K301" s="3" t="s">
        <v>5587</v>
      </c>
      <c r="L301" s="8" t="str">
        <f>HYPERLINK("http://slimages.macys.com/is/image/MCY/11635106 ")</f>
        <v xml:space="preserve">http://slimages.macys.com/is/image/MCY/11635106 </v>
      </c>
    </row>
    <row r="302" spans="1:12" ht="24.75" x14ac:dyDescent="0.25">
      <c r="A302" s="6" t="s">
        <v>1093</v>
      </c>
      <c r="B302" s="3" t="s">
        <v>1094</v>
      </c>
      <c r="C302" s="4">
        <v>1</v>
      </c>
      <c r="D302" s="5">
        <v>24</v>
      </c>
      <c r="E302" s="4" t="s">
        <v>1095</v>
      </c>
      <c r="F302" s="3" t="s">
        <v>5546</v>
      </c>
      <c r="G302" s="7" t="s">
        <v>5562</v>
      </c>
      <c r="H302" s="3" t="s">
        <v>6492</v>
      </c>
      <c r="I302" s="3" t="s">
        <v>6604</v>
      </c>
      <c r="J302" s="3" t="s">
        <v>5536</v>
      </c>
      <c r="K302" s="3" t="s">
        <v>5594</v>
      </c>
      <c r="L302" s="8" t="str">
        <f>HYPERLINK("http://slimages.macys.com/is/image/MCY/15784179 ")</f>
        <v xml:space="preserve">http://slimages.macys.com/is/image/MCY/15784179 </v>
      </c>
    </row>
    <row r="303" spans="1:12" ht="24.75" x14ac:dyDescent="0.25">
      <c r="A303" s="6" t="s">
        <v>1096</v>
      </c>
      <c r="B303" s="3" t="s">
        <v>1097</v>
      </c>
      <c r="C303" s="4">
        <v>1</v>
      </c>
      <c r="D303" s="5">
        <v>20</v>
      </c>
      <c r="E303" s="4" t="s">
        <v>1098</v>
      </c>
      <c r="F303" s="3" t="s">
        <v>3197</v>
      </c>
      <c r="G303" s="7" t="s">
        <v>5598</v>
      </c>
      <c r="H303" s="3" t="s">
        <v>6492</v>
      </c>
      <c r="I303" s="3" t="s">
        <v>6604</v>
      </c>
      <c r="J303" s="3" t="s">
        <v>5536</v>
      </c>
      <c r="K303" s="3" t="s">
        <v>5549</v>
      </c>
      <c r="L303" s="8" t="str">
        <f>HYPERLINK("http://slimages.macys.com/is/image/MCY/15433531 ")</f>
        <v xml:space="preserve">http://slimages.macys.com/is/image/MCY/15433531 </v>
      </c>
    </row>
    <row r="304" spans="1:12" ht="24.75" x14ac:dyDescent="0.25">
      <c r="A304" s="6" t="s">
        <v>1099</v>
      </c>
      <c r="B304" s="3" t="s">
        <v>1100</v>
      </c>
      <c r="C304" s="4">
        <v>1</v>
      </c>
      <c r="D304" s="5">
        <v>24</v>
      </c>
      <c r="E304" s="4" t="s">
        <v>1101</v>
      </c>
      <c r="F304" s="3" t="s">
        <v>5640</v>
      </c>
      <c r="G304" s="7" t="s">
        <v>5596</v>
      </c>
      <c r="H304" s="3" t="s">
        <v>6492</v>
      </c>
      <c r="I304" s="3" t="s">
        <v>6604</v>
      </c>
      <c r="J304" s="3" t="s">
        <v>5536</v>
      </c>
      <c r="K304" s="3" t="s">
        <v>5594</v>
      </c>
      <c r="L304" s="8" t="str">
        <f>HYPERLINK("http://slimages.macys.com/is/image/MCY/15122841 ")</f>
        <v xml:space="preserve">http://slimages.macys.com/is/image/MCY/15122841 </v>
      </c>
    </row>
    <row r="305" spans="1:12" ht="24.75" x14ac:dyDescent="0.25">
      <c r="A305" s="6" t="s">
        <v>1102</v>
      </c>
      <c r="B305" s="3" t="s">
        <v>1103</v>
      </c>
      <c r="C305" s="4">
        <v>1</v>
      </c>
      <c r="D305" s="5">
        <v>24</v>
      </c>
      <c r="E305" s="4" t="s">
        <v>1104</v>
      </c>
      <c r="F305" s="3" t="s">
        <v>5540</v>
      </c>
      <c r="G305" s="7" t="s">
        <v>5598</v>
      </c>
      <c r="H305" s="3" t="s">
        <v>6492</v>
      </c>
      <c r="I305" s="3" t="s">
        <v>6604</v>
      </c>
      <c r="J305" s="3" t="s">
        <v>5536</v>
      </c>
      <c r="K305" s="3" t="s">
        <v>5594</v>
      </c>
      <c r="L305" s="8" t="str">
        <f>HYPERLINK("http://slimages.macys.com/is/image/MCY/15769265 ")</f>
        <v xml:space="preserve">http://slimages.macys.com/is/image/MCY/15769265 </v>
      </c>
    </row>
    <row r="306" spans="1:12" ht="24.75" x14ac:dyDescent="0.25">
      <c r="A306" s="6" t="s">
        <v>5183</v>
      </c>
      <c r="B306" s="3" t="s">
        <v>5176</v>
      </c>
      <c r="C306" s="4">
        <v>1</v>
      </c>
      <c r="D306" s="5">
        <v>20</v>
      </c>
      <c r="E306" s="4" t="s">
        <v>5177</v>
      </c>
      <c r="F306" s="3" t="s">
        <v>5661</v>
      </c>
      <c r="G306" s="7" t="s">
        <v>5596</v>
      </c>
      <c r="H306" s="3" t="s">
        <v>6492</v>
      </c>
      <c r="I306" s="3" t="s">
        <v>6548</v>
      </c>
      <c r="J306" s="3" t="s">
        <v>5536</v>
      </c>
      <c r="K306" s="3" t="s">
        <v>5549</v>
      </c>
      <c r="L306" s="8" t="str">
        <f>HYPERLINK("http://slimages.macys.com/is/image/MCY/14540377 ")</f>
        <v xml:space="preserve">http://slimages.macys.com/is/image/MCY/14540377 </v>
      </c>
    </row>
    <row r="307" spans="1:12" ht="36.75" x14ac:dyDescent="0.25">
      <c r="A307" s="6" t="s">
        <v>1105</v>
      </c>
      <c r="B307" s="3" t="s">
        <v>1106</v>
      </c>
      <c r="C307" s="4">
        <v>1</v>
      </c>
      <c r="D307" s="5">
        <v>12.99</v>
      </c>
      <c r="E307" s="4" t="s">
        <v>1107</v>
      </c>
      <c r="F307" s="3"/>
      <c r="G307" s="7"/>
      <c r="H307" s="3" t="s">
        <v>6805</v>
      </c>
      <c r="I307" s="3" t="s">
        <v>1108</v>
      </c>
      <c r="J307" s="3" t="s">
        <v>5536</v>
      </c>
      <c r="K307" s="3" t="s">
        <v>6807</v>
      </c>
      <c r="L307" s="8" t="str">
        <f>HYPERLINK("http://slimages.macys.com/is/image/MCY/14528176 ")</f>
        <v xml:space="preserve">http://slimages.macys.com/is/image/MCY/14528176 </v>
      </c>
    </row>
    <row r="308" spans="1:12" ht="36.75" x14ac:dyDescent="0.25">
      <c r="A308" s="6" t="s">
        <v>1109</v>
      </c>
      <c r="B308" s="3" t="s">
        <v>1110</v>
      </c>
      <c r="C308" s="4">
        <v>1</v>
      </c>
      <c r="D308" s="5">
        <v>12.99</v>
      </c>
      <c r="E308" s="4" t="s">
        <v>1111</v>
      </c>
      <c r="F308" s="3"/>
      <c r="G308" s="7"/>
      <c r="H308" s="3" t="s">
        <v>6805</v>
      </c>
      <c r="I308" s="3" t="s">
        <v>1108</v>
      </c>
      <c r="J308" s="3" t="s">
        <v>5536</v>
      </c>
      <c r="K308" s="3" t="s">
        <v>6807</v>
      </c>
      <c r="L308" s="8" t="str">
        <f>HYPERLINK("http://slimages.macys.com/is/image/MCY/14528237 ")</f>
        <v xml:space="preserve">http://slimages.macys.com/is/image/MCY/14528237 </v>
      </c>
    </row>
    <row r="309" spans="1:12" ht="24.75" x14ac:dyDescent="0.25">
      <c r="A309" s="6" t="s">
        <v>1112</v>
      </c>
      <c r="B309" s="3" t="s">
        <v>1113</v>
      </c>
      <c r="C309" s="4">
        <v>2</v>
      </c>
      <c r="D309" s="5">
        <v>30</v>
      </c>
      <c r="E309" s="4" t="s">
        <v>1114</v>
      </c>
      <c r="F309" s="3" t="s">
        <v>4995</v>
      </c>
      <c r="G309" s="7"/>
      <c r="H309" s="3" t="s">
        <v>5899</v>
      </c>
      <c r="I309" s="3" t="s">
        <v>4134</v>
      </c>
      <c r="J309" s="3" t="s">
        <v>5536</v>
      </c>
      <c r="K309" s="3" t="s">
        <v>4276</v>
      </c>
      <c r="L309" s="8" t="str">
        <f>HYPERLINK("http://slimages.macys.com/is/image/MCY/10521357 ")</f>
        <v xml:space="preserve">http://slimages.macys.com/is/image/MCY/10521357 </v>
      </c>
    </row>
    <row r="310" spans="1:12" ht="24.75" x14ac:dyDescent="0.25">
      <c r="A310" s="6" t="s">
        <v>1115</v>
      </c>
      <c r="B310" s="3" t="s">
        <v>1116</v>
      </c>
      <c r="C310" s="4">
        <v>2</v>
      </c>
      <c r="D310" s="5">
        <v>25.98</v>
      </c>
      <c r="E310" s="4" t="s">
        <v>1117</v>
      </c>
      <c r="F310" s="3"/>
      <c r="G310" s="7" t="s">
        <v>5560</v>
      </c>
      <c r="H310" s="3" t="s">
        <v>6794</v>
      </c>
      <c r="I310" s="3" t="s">
        <v>6795</v>
      </c>
      <c r="J310" s="3" t="s">
        <v>5536</v>
      </c>
      <c r="K310" s="3" t="s">
        <v>5727</v>
      </c>
      <c r="L310" s="8" t="str">
        <f>HYPERLINK("http://slimages.macys.com/is/image/MCY/14573008 ")</f>
        <v xml:space="preserve">http://slimages.macys.com/is/image/MCY/14573008 </v>
      </c>
    </row>
    <row r="311" spans="1:12" ht="24.75" x14ac:dyDescent="0.25">
      <c r="A311" s="6" t="s">
        <v>6826</v>
      </c>
      <c r="B311" s="3" t="s">
        <v>6827</v>
      </c>
      <c r="C311" s="4">
        <v>1</v>
      </c>
      <c r="D311" s="5">
        <v>12.99</v>
      </c>
      <c r="E311" s="4" t="s">
        <v>6828</v>
      </c>
      <c r="F311" s="3"/>
      <c r="G311" s="7"/>
      <c r="H311" s="3" t="s">
        <v>6805</v>
      </c>
      <c r="I311" s="3" t="s">
        <v>6824</v>
      </c>
      <c r="J311" s="3" t="s">
        <v>5536</v>
      </c>
      <c r="K311" s="3" t="s">
        <v>6825</v>
      </c>
      <c r="L311" s="8" t="str">
        <f>HYPERLINK("http://slimages.macys.com/is/image/MCY/14312123 ")</f>
        <v xml:space="preserve">http://slimages.macys.com/is/image/MCY/14312123 </v>
      </c>
    </row>
    <row r="312" spans="1:12" ht="24.75" x14ac:dyDescent="0.25">
      <c r="A312" s="6" t="s">
        <v>1118</v>
      </c>
      <c r="B312" s="3" t="s">
        <v>1119</v>
      </c>
      <c r="C312" s="4">
        <v>1</v>
      </c>
      <c r="D312" s="5">
        <v>12.98</v>
      </c>
      <c r="E312" s="4" t="s">
        <v>1120</v>
      </c>
      <c r="F312" s="3" t="s">
        <v>5532</v>
      </c>
      <c r="G312" s="7" t="s">
        <v>5533</v>
      </c>
      <c r="H312" s="3" t="s">
        <v>6019</v>
      </c>
      <c r="I312" s="3" t="s">
        <v>6835</v>
      </c>
      <c r="J312" s="3" t="s">
        <v>5536</v>
      </c>
      <c r="K312" s="3" t="s">
        <v>5574</v>
      </c>
      <c r="L312" s="8" t="str">
        <f>HYPERLINK("http://slimages.macys.com/is/image/MCY/12937965 ")</f>
        <v xml:space="preserve">http://slimages.macys.com/is/image/MCY/12937965 </v>
      </c>
    </row>
    <row r="313" spans="1:12" ht="24.75" x14ac:dyDescent="0.25">
      <c r="A313" s="6" t="s">
        <v>1121</v>
      </c>
      <c r="B313" s="3" t="s">
        <v>6852</v>
      </c>
      <c r="C313" s="4">
        <v>8</v>
      </c>
      <c r="D313" s="5">
        <v>111.92</v>
      </c>
      <c r="E313" s="4" t="s">
        <v>6853</v>
      </c>
      <c r="F313" s="3" t="s">
        <v>5925</v>
      </c>
      <c r="G313" s="7" t="s">
        <v>5573</v>
      </c>
      <c r="H313" s="3" t="s">
        <v>5794</v>
      </c>
      <c r="I313" s="3" t="s">
        <v>6849</v>
      </c>
      <c r="J313" s="3" t="s">
        <v>5536</v>
      </c>
      <c r="K313" s="3" t="s">
        <v>6850</v>
      </c>
      <c r="L313" s="8" t="str">
        <f>HYPERLINK("http://slimages.macys.com/is/image/MCY/14840691 ")</f>
        <v xml:space="preserve">http://slimages.macys.com/is/image/MCY/14840691 </v>
      </c>
    </row>
    <row r="314" spans="1:12" ht="24.75" x14ac:dyDescent="0.25">
      <c r="A314" s="6" t="s">
        <v>1122</v>
      </c>
      <c r="B314" s="3" t="s">
        <v>6852</v>
      </c>
      <c r="C314" s="4">
        <v>3</v>
      </c>
      <c r="D314" s="5">
        <v>41.97</v>
      </c>
      <c r="E314" s="4" t="s">
        <v>6853</v>
      </c>
      <c r="F314" s="3" t="s">
        <v>5783</v>
      </c>
      <c r="G314" s="7" t="s">
        <v>5573</v>
      </c>
      <c r="H314" s="3" t="s">
        <v>5794</v>
      </c>
      <c r="I314" s="3" t="s">
        <v>6849</v>
      </c>
      <c r="J314" s="3" t="s">
        <v>5536</v>
      </c>
      <c r="K314" s="3" t="s">
        <v>6850</v>
      </c>
      <c r="L314" s="8" t="str">
        <f>HYPERLINK("http://slimages.macys.com/is/image/MCY/14840691 ")</f>
        <v xml:space="preserve">http://slimages.macys.com/is/image/MCY/14840691 </v>
      </c>
    </row>
    <row r="315" spans="1:12" ht="24.75" x14ac:dyDescent="0.25">
      <c r="A315" s="6" t="s">
        <v>4459</v>
      </c>
      <c r="B315" s="3" t="s">
        <v>6860</v>
      </c>
      <c r="C315" s="4">
        <v>1</v>
      </c>
      <c r="D315" s="5">
        <v>13.99</v>
      </c>
      <c r="E315" s="4" t="s">
        <v>6861</v>
      </c>
      <c r="F315" s="3" t="s">
        <v>5783</v>
      </c>
      <c r="G315" s="7" t="s">
        <v>6848</v>
      </c>
      <c r="H315" s="3" t="s">
        <v>5794</v>
      </c>
      <c r="I315" s="3" t="s">
        <v>6849</v>
      </c>
      <c r="J315" s="3" t="s">
        <v>5536</v>
      </c>
      <c r="K315" s="3" t="s">
        <v>6850</v>
      </c>
      <c r="L315" s="8" t="str">
        <f>HYPERLINK("http://slimages.macys.com/is/image/MCY/14816237 ")</f>
        <v xml:space="preserve">http://slimages.macys.com/is/image/MCY/14816237 </v>
      </c>
    </row>
    <row r="316" spans="1:12" ht="24.75" x14ac:dyDescent="0.25">
      <c r="A316" s="6" t="s">
        <v>6865</v>
      </c>
      <c r="B316" s="3" t="s">
        <v>6866</v>
      </c>
      <c r="C316" s="4">
        <v>1</v>
      </c>
      <c r="D316" s="5">
        <v>14.99</v>
      </c>
      <c r="E316" s="4">
        <v>10006150200</v>
      </c>
      <c r="F316" s="3" t="s">
        <v>6335</v>
      </c>
      <c r="G316" s="7" t="s">
        <v>6252</v>
      </c>
      <c r="H316" s="3" t="s">
        <v>6652</v>
      </c>
      <c r="I316" s="3" t="s">
        <v>6653</v>
      </c>
      <c r="J316" s="3" t="s">
        <v>5536</v>
      </c>
      <c r="K316" s="3" t="s">
        <v>6295</v>
      </c>
      <c r="L316" s="8" t="str">
        <f>HYPERLINK("http://slimages.macys.com/is/image/MCY/12301973 ")</f>
        <v xml:space="preserve">http://slimages.macys.com/is/image/MCY/12301973 </v>
      </c>
    </row>
    <row r="317" spans="1:12" ht="24.75" x14ac:dyDescent="0.25">
      <c r="A317" s="6" t="s">
        <v>1123</v>
      </c>
      <c r="B317" s="3" t="s">
        <v>6866</v>
      </c>
      <c r="C317" s="4">
        <v>1</v>
      </c>
      <c r="D317" s="5">
        <v>14.99</v>
      </c>
      <c r="E317" s="4">
        <v>10006150200</v>
      </c>
      <c r="F317" s="3" t="s">
        <v>5578</v>
      </c>
      <c r="G317" s="7" t="s">
        <v>6252</v>
      </c>
      <c r="H317" s="3" t="s">
        <v>6652</v>
      </c>
      <c r="I317" s="3" t="s">
        <v>6653</v>
      </c>
      <c r="J317" s="3" t="s">
        <v>5536</v>
      </c>
      <c r="K317" s="3" t="s">
        <v>6303</v>
      </c>
      <c r="L317" s="8" t="str">
        <f>HYPERLINK("http://slimages.macys.com/is/image/MCY/12301987 ")</f>
        <v xml:space="preserve">http://slimages.macys.com/is/image/MCY/12301987 </v>
      </c>
    </row>
    <row r="318" spans="1:12" ht="24.75" x14ac:dyDescent="0.25">
      <c r="A318" s="6" t="s">
        <v>6869</v>
      </c>
      <c r="B318" s="3" t="s">
        <v>6870</v>
      </c>
      <c r="C318" s="4">
        <v>1</v>
      </c>
      <c r="D318" s="5">
        <v>14.99</v>
      </c>
      <c r="E318" s="4">
        <v>10006150200</v>
      </c>
      <c r="F318" s="3" t="s">
        <v>6010</v>
      </c>
      <c r="G318" s="7" t="s">
        <v>6252</v>
      </c>
      <c r="H318" s="3" t="s">
        <v>6652</v>
      </c>
      <c r="I318" s="3" t="s">
        <v>6653</v>
      </c>
      <c r="J318" s="3" t="s">
        <v>5536</v>
      </c>
      <c r="K318" s="3" t="s">
        <v>6303</v>
      </c>
      <c r="L318" s="8" t="str">
        <f>HYPERLINK("http://slimages.macys.com/is/image/MCY/12301987 ")</f>
        <v xml:space="preserve">http://slimages.macys.com/is/image/MCY/12301987 </v>
      </c>
    </row>
    <row r="319" spans="1:12" ht="24.75" x14ac:dyDescent="0.25">
      <c r="A319" s="6" t="s">
        <v>6871</v>
      </c>
      <c r="B319" s="3" t="s">
        <v>6870</v>
      </c>
      <c r="C319" s="4">
        <v>4</v>
      </c>
      <c r="D319" s="5">
        <v>59.96</v>
      </c>
      <c r="E319" s="4">
        <v>10006150200</v>
      </c>
      <c r="F319" s="3" t="s">
        <v>6703</v>
      </c>
      <c r="G319" s="7" t="s">
        <v>6252</v>
      </c>
      <c r="H319" s="3" t="s">
        <v>6652</v>
      </c>
      <c r="I319" s="3" t="s">
        <v>6653</v>
      </c>
      <c r="J319" s="3" t="s">
        <v>5536</v>
      </c>
      <c r="K319" s="3" t="s">
        <v>6303</v>
      </c>
      <c r="L319" s="8" t="str">
        <f>HYPERLINK("http://slimages.macys.com/is/image/MCY/12301987 ")</f>
        <v xml:space="preserve">http://slimages.macys.com/is/image/MCY/12301987 </v>
      </c>
    </row>
    <row r="320" spans="1:12" ht="24.75" x14ac:dyDescent="0.25">
      <c r="A320" s="6" t="s">
        <v>2600</v>
      </c>
      <c r="B320" s="3" t="s">
        <v>6866</v>
      </c>
      <c r="C320" s="4">
        <v>1</v>
      </c>
      <c r="D320" s="5">
        <v>14.99</v>
      </c>
      <c r="E320" s="4">
        <v>10006150200</v>
      </c>
      <c r="F320" s="3" t="s">
        <v>5552</v>
      </c>
      <c r="G320" s="7" t="s">
        <v>6252</v>
      </c>
      <c r="H320" s="3" t="s">
        <v>6652</v>
      </c>
      <c r="I320" s="3" t="s">
        <v>6653</v>
      </c>
      <c r="J320" s="3" t="s">
        <v>5536</v>
      </c>
      <c r="K320" s="3" t="s">
        <v>6303</v>
      </c>
      <c r="L320" s="8" t="str">
        <f>HYPERLINK("http://slimages.macys.com/is/image/MCY/12301955 ")</f>
        <v xml:space="preserve">http://slimages.macys.com/is/image/MCY/12301955 </v>
      </c>
    </row>
    <row r="321" spans="1:12" ht="24.75" x14ac:dyDescent="0.25">
      <c r="A321" s="6" t="s">
        <v>1124</v>
      </c>
      <c r="B321" s="3" t="s">
        <v>1125</v>
      </c>
      <c r="C321" s="4">
        <v>1</v>
      </c>
      <c r="D321" s="5">
        <v>14.99</v>
      </c>
      <c r="E321" s="4">
        <v>10008418000</v>
      </c>
      <c r="F321" s="3" t="s">
        <v>6300</v>
      </c>
      <c r="G321" s="7" t="s">
        <v>6252</v>
      </c>
      <c r="H321" s="3" t="s">
        <v>6652</v>
      </c>
      <c r="I321" s="3" t="s">
        <v>6653</v>
      </c>
      <c r="J321" s="3" t="s">
        <v>5536</v>
      </c>
      <c r="K321" s="3" t="s">
        <v>6295</v>
      </c>
      <c r="L321" s="8" t="str">
        <f>HYPERLINK("http://slimages.macys.com/is/image/MCY/14912160 ")</f>
        <v xml:space="preserve">http://slimages.macys.com/is/image/MCY/14912160 </v>
      </c>
    </row>
    <row r="322" spans="1:12" ht="24.75" x14ac:dyDescent="0.25">
      <c r="A322" s="6" t="s">
        <v>6867</v>
      </c>
      <c r="B322" s="3" t="s">
        <v>6868</v>
      </c>
      <c r="C322" s="4">
        <v>1</v>
      </c>
      <c r="D322" s="5">
        <v>27.99</v>
      </c>
      <c r="E322" s="4">
        <v>10008586400</v>
      </c>
      <c r="F322" s="3" t="s">
        <v>5783</v>
      </c>
      <c r="G322" s="7" t="s">
        <v>6252</v>
      </c>
      <c r="H322" s="3" t="s">
        <v>6652</v>
      </c>
      <c r="I322" s="3" t="s">
        <v>6653</v>
      </c>
      <c r="J322" s="3" t="s">
        <v>5536</v>
      </c>
      <c r="K322" s="3" t="s">
        <v>6295</v>
      </c>
      <c r="L322" s="8" t="str">
        <f>HYPERLINK("http://slimages.macys.com/is/image/MCY/15917056 ")</f>
        <v xml:space="preserve">http://slimages.macys.com/is/image/MCY/15917056 </v>
      </c>
    </row>
    <row r="323" spans="1:12" x14ac:dyDescent="0.25">
      <c r="A323" s="6" t="s">
        <v>1126</v>
      </c>
      <c r="B323" s="3" t="s">
        <v>1127</v>
      </c>
      <c r="C323" s="4">
        <v>1</v>
      </c>
      <c r="D323" s="5">
        <v>25</v>
      </c>
      <c r="E323" s="4" t="s">
        <v>1128</v>
      </c>
      <c r="F323" s="3" t="s">
        <v>5625</v>
      </c>
      <c r="G323" s="7" t="s">
        <v>5898</v>
      </c>
      <c r="H323" s="3" t="s">
        <v>6131</v>
      </c>
      <c r="I323" s="3" t="s">
        <v>1129</v>
      </c>
      <c r="J323" s="3" t="s">
        <v>5536</v>
      </c>
      <c r="K323" s="3" t="s">
        <v>1130</v>
      </c>
      <c r="L323" s="8" t="str">
        <f>HYPERLINK("http://slimages.macys.com/is/image/MCY/14808637 ")</f>
        <v xml:space="preserve">http://slimages.macys.com/is/image/MCY/14808637 </v>
      </c>
    </row>
    <row r="324" spans="1:12" x14ac:dyDescent="0.25">
      <c r="A324" s="6" t="s">
        <v>1131</v>
      </c>
      <c r="B324" s="3" t="s">
        <v>1132</v>
      </c>
      <c r="C324" s="4">
        <v>1</v>
      </c>
      <c r="D324" s="5">
        <v>19.989999999999998</v>
      </c>
      <c r="E324" s="4" t="s">
        <v>1133</v>
      </c>
      <c r="F324" s="3" t="s">
        <v>5532</v>
      </c>
      <c r="G324" s="7" t="s">
        <v>5562</v>
      </c>
      <c r="H324" s="3" t="s">
        <v>6065</v>
      </c>
      <c r="I324" s="3" t="s">
        <v>6066</v>
      </c>
      <c r="J324" s="3" t="s">
        <v>5536</v>
      </c>
      <c r="K324" s="3" t="s">
        <v>5574</v>
      </c>
      <c r="L324" s="8" t="str">
        <f>HYPERLINK("http://slimages.macys.com/is/image/MCY/8156872 ")</f>
        <v xml:space="preserve">http://slimages.macys.com/is/image/MCY/8156872 </v>
      </c>
    </row>
    <row r="325" spans="1:12" ht="24.75" x14ac:dyDescent="0.25">
      <c r="A325" s="6" t="s">
        <v>1134</v>
      </c>
      <c r="B325" s="3" t="s">
        <v>1135</v>
      </c>
      <c r="C325" s="4">
        <v>1</v>
      </c>
      <c r="D325" s="5">
        <v>11</v>
      </c>
      <c r="E325" s="4" t="s">
        <v>1136</v>
      </c>
      <c r="F325" s="3" t="s">
        <v>5540</v>
      </c>
      <c r="G325" s="7" t="s">
        <v>5898</v>
      </c>
      <c r="H325" s="3" t="s">
        <v>6515</v>
      </c>
      <c r="I325" s="3" t="s">
        <v>6004</v>
      </c>
      <c r="J325" s="3" t="s">
        <v>5536</v>
      </c>
      <c r="K325" s="3" t="s">
        <v>1137</v>
      </c>
      <c r="L325" s="8" t="str">
        <f>HYPERLINK("http://slimages.macys.com/is/image/MCY/14574085 ")</f>
        <v xml:space="preserve">http://slimages.macys.com/is/image/MCY/14574085 </v>
      </c>
    </row>
    <row r="326" spans="1:12" ht="36.75" x14ac:dyDescent="0.25">
      <c r="A326" s="6" t="s">
        <v>6929</v>
      </c>
      <c r="B326" s="3" t="s">
        <v>6916</v>
      </c>
      <c r="C326" s="4">
        <v>1</v>
      </c>
      <c r="D326" s="5">
        <v>9.99</v>
      </c>
      <c r="E326" s="4" t="s">
        <v>6917</v>
      </c>
      <c r="F326" s="3" t="s">
        <v>5977</v>
      </c>
      <c r="G326" s="7" t="s">
        <v>5596</v>
      </c>
      <c r="H326" s="3" t="s">
        <v>6430</v>
      </c>
      <c r="I326" s="3" t="s">
        <v>6431</v>
      </c>
      <c r="J326" s="3" t="s">
        <v>5536</v>
      </c>
      <c r="K326" s="3" t="s">
        <v>5574</v>
      </c>
      <c r="L326" s="8" t="str">
        <f>HYPERLINK("http://slimages.macys.com/is/image/MCY/15509348 ")</f>
        <v xml:space="preserve">http://slimages.macys.com/is/image/MCY/15509348 </v>
      </c>
    </row>
    <row r="327" spans="1:12" ht="24.75" x14ac:dyDescent="0.25">
      <c r="A327" s="6" t="s">
        <v>6942</v>
      </c>
      <c r="B327" s="3" t="s">
        <v>6939</v>
      </c>
      <c r="C327" s="4">
        <v>1</v>
      </c>
      <c r="D327" s="5">
        <v>11</v>
      </c>
      <c r="E327" s="4" t="s">
        <v>6940</v>
      </c>
      <c r="F327" s="3" t="s">
        <v>5540</v>
      </c>
      <c r="G327" s="7" t="s">
        <v>5898</v>
      </c>
      <c r="H327" s="3" t="s">
        <v>6515</v>
      </c>
      <c r="I327" s="3" t="s">
        <v>6066</v>
      </c>
      <c r="J327" s="3" t="s">
        <v>5536</v>
      </c>
      <c r="K327" s="3" t="s">
        <v>6941</v>
      </c>
      <c r="L327" s="8" t="str">
        <f>HYPERLINK("http://slimages.macys.com/is/image/MCY/8853210 ")</f>
        <v xml:space="preserve">http://slimages.macys.com/is/image/MCY/8853210 </v>
      </c>
    </row>
    <row r="328" spans="1:12" ht="36.75" x14ac:dyDescent="0.25">
      <c r="A328" s="6" t="s">
        <v>1138</v>
      </c>
      <c r="B328" s="3" t="s">
        <v>1139</v>
      </c>
      <c r="C328" s="4">
        <v>1</v>
      </c>
      <c r="D328" s="5">
        <v>7.98</v>
      </c>
      <c r="E328" s="4" t="s">
        <v>1140</v>
      </c>
      <c r="F328" s="3" t="s">
        <v>5578</v>
      </c>
      <c r="G328" s="7" t="s">
        <v>5598</v>
      </c>
      <c r="H328" s="3" t="s">
        <v>6430</v>
      </c>
      <c r="I328" s="3" t="s">
        <v>6431</v>
      </c>
      <c r="J328" s="3" t="s">
        <v>5536</v>
      </c>
      <c r="K328" s="3" t="s">
        <v>5574</v>
      </c>
      <c r="L328" s="8" t="str">
        <f>HYPERLINK("http://slimages.macys.com/is/image/MCY/15189051 ")</f>
        <v xml:space="preserve">http://slimages.macys.com/is/image/MCY/15189051 </v>
      </c>
    </row>
    <row r="329" spans="1:12" ht="36.75" x14ac:dyDescent="0.25">
      <c r="A329" s="6" t="s">
        <v>1141</v>
      </c>
      <c r="B329" s="3" t="s">
        <v>1142</v>
      </c>
      <c r="C329" s="4">
        <v>1</v>
      </c>
      <c r="D329" s="5">
        <v>7.98</v>
      </c>
      <c r="E329" s="4" t="s">
        <v>1143</v>
      </c>
      <c r="F329" s="3" t="s">
        <v>6410</v>
      </c>
      <c r="G329" s="7" t="s">
        <v>5533</v>
      </c>
      <c r="H329" s="3" t="s">
        <v>6430</v>
      </c>
      <c r="I329" s="3" t="s">
        <v>6431</v>
      </c>
      <c r="J329" s="3" t="s">
        <v>5536</v>
      </c>
      <c r="K329" s="3" t="s">
        <v>5574</v>
      </c>
      <c r="L329" s="8" t="str">
        <f>HYPERLINK("http://slimages.macys.com/is/image/MCY/11965172 ")</f>
        <v xml:space="preserve">http://slimages.macys.com/is/image/MCY/11965172 </v>
      </c>
    </row>
    <row r="330" spans="1:12" ht="36.75" x14ac:dyDescent="0.25">
      <c r="A330" s="6" t="s">
        <v>1144</v>
      </c>
      <c r="B330" s="3" t="s">
        <v>6944</v>
      </c>
      <c r="C330" s="4">
        <v>2</v>
      </c>
      <c r="D330" s="5">
        <v>15.96</v>
      </c>
      <c r="E330" s="4" t="s">
        <v>6945</v>
      </c>
      <c r="F330" s="3" t="s">
        <v>5532</v>
      </c>
      <c r="G330" s="7" t="s">
        <v>5598</v>
      </c>
      <c r="H330" s="3" t="s">
        <v>6430</v>
      </c>
      <c r="I330" s="3" t="s">
        <v>6431</v>
      </c>
      <c r="J330" s="3" t="s">
        <v>5536</v>
      </c>
      <c r="K330" s="3" t="s">
        <v>5574</v>
      </c>
      <c r="L330" s="8" t="str">
        <f>HYPERLINK("http://slimages.macys.com/is/image/MCY/15188983 ")</f>
        <v xml:space="preserve">http://slimages.macys.com/is/image/MCY/15188983 </v>
      </c>
    </row>
    <row r="331" spans="1:12" ht="24.75" x14ac:dyDescent="0.25">
      <c r="A331" s="6" t="s">
        <v>2643</v>
      </c>
      <c r="B331" s="3" t="s">
        <v>2644</v>
      </c>
      <c r="C331" s="4">
        <v>11</v>
      </c>
      <c r="D331" s="5">
        <v>55</v>
      </c>
      <c r="E331" s="4" t="s">
        <v>2645</v>
      </c>
      <c r="F331" s="3" t="s">
        <v>5661</v>
      </c>
      <c r="G331" s="7" t="s">
        <v>5898</v>
      </c>
      <c r="H331" s="3" t="s">
        <v>6632</v>
      </c>
      <c r="I331" s="3" t="s">
        <v>6969</v>
      </c>
      <c r="J331" s="3" t="s">
        <v>5536</v>
      </c>
      <c r="K331" s="3" t="s">
        <v>6970</v>
      </c>
      <c r="L331" s="8" t="str">
        <f>HYPERLINK("http://slimages.macys.com/is/image/MCY/15501732 ")</f>
        <v xml:space="preserve">http://slimages.macys.com/is/image/MCY/15501732 </v>
      </c>
    </row>
    <row r="332" spans="1:12" ht="24.75" x14ac:dyDescent="0.25">
      <c r="A332" s="6" t="s">
        <v>6991</v>
      </c>
      <c r="B332" s="3" t="s">
        <v>6992</v>
      </c>
      <c r="C332" s="4">
        <v>7</v>
      </c>
      <c r="D332" s="5">
        <v>35</v>
      </c>
      <c r="E332" s="4" t="s">
        <v>6993</v>
      </c>
      <c r="F332" s="3" t="s">
        <v>5604</v>
      </c>
      <c r="G332" s="7" t="s">
        <v>5898</v>
      </c>
      <c r="H332" s="3" t="s">
        <v>6632</v>
      </c>
      <c r="I332" s="3" t="s">
        <v>6969</v>
      </c>
      <c r="J332" s="3" t="s">
        <v>5536</v>
      </c>
      <c r="K332" s="3" t="s">
        <v>6994</v>
      </c>
      <c r="L332" s="8" t="str">
        <f>HYPERLINK("http://slimages.macys.com/is/image/MCY/14345413 ")</f>
        <v xml:space="preserve">http://slimages.macys.com/is/image/MCY/14345413 </v>
      </c>
    </row>
    <row r="333" spans="1:12" ht="24.75" x14ac:dyDescent="0.25">
      <c r="A333" s="6" t="s">
        <v>2640</v>
      </c>
      <c r="B333" s="3" t="s">
        <v>2641</v>
      </c>
      <c r="C333" s="4">
        <v>19</v>
      </c>
      <c r="D333" s="5">
        <v>95</v>
      </c>
      <c r="E333" s="4" t="s">
        <v>2642</v>
      </c>
      <c r="F333" s="3" t="s">
        <v>5604</v>
      </c>
      <c r="G333" s="7" t="s">
        <v>5898</v>
      </c>
      <c r="H333" s="3" t="s">
        <v>6632</v>
      </c>
      <c r="I333" s="3" t="s">
        <v>6969</v>
      </c>
      <c r="J333" s="3" t="s">
        <v>5536</v>
      </c>
      <c r="K333" s="3" t="s">
        <v>7004</v>
      </c>
      <c r="L333" s="8" t="str">
        <f>HYPERLINK("http://slimages.macys.com/is/image/MCY/15668362 ")</f>
        <v xml:space="preserve">http://slimages.macys.com/is/image/MCY/15668362 </v>
      </c>
    </row>
    <row r="334" spans="1:12" ht="24.75" x14ac:dyDescent="0.25">
      <c r="A334" s="6" t="s">
        <v>2629</v>
      </c>
      <c r="B334" s="3" t="s">
        <v>2630</v>
      </c>
      <c r="C334" s="4">
        <v>15</v>
      </c>
      <c r="D334" s="5">
        <v>75</v>
      </c>
      <c r="E334" s="4" t="s">
        <v>2631</v>
      </c>
      <c r="F334" s="3" t="s">
        <v>5604</v>
      </c>
      <c r="G334" s="7" t="s">
        <v>5898</v>
      </c>
      <c r="H334" s="3" t="s">
        <v>6632</v>
      </c>
      <c r="I334" s="3" t="s">
        <v>6969</v>
      </c>
      <c r="J334" s="3" t="s">
        <v>5536</v>
      </c>
      <c r="K334" s="3" t="s">
        <v>6990</v>
      </c>
      <c r="L334" s="8" t="str">
        <f>HYPERLINK("http://slimages.macys.com/is/image/MCY/15668373 ")</f>
        <v xml:space="preserve">http://slimages.macys.com/is/image/MCY/15668373 </v>
      </c>
    </row>
    <row r="335" spans="1:12" ht="24.75" x14ac:dyDescent="0.25">
      <c r="A335" s="6" t="s">
        <v>2632</v>
      </c>
      <c r="B335" s="3" t="s">
        <v>2633</v>
      </c>
      <c r="C335" s="4">
        <v>9</v>
      </c>
      <c r="D335" s="5">
        <v>45</v>
      </c>
      <c r="E335" s="4" t="s">
        <v>2634</v>
      </c>
      <c r="F335" s="3" t="s">
        <v>5540</v>
      </c>
      <c r="G335" s="7" t="s">
        <v>5898</v>
      </c>
      <c r="H335" s="3" t="s">
        <v>6632</v>
      </c>
      <c r="I335" s="3" t="s">
        <v>6969</v>
      </c>
      <c r="J335" s="3" t="s">
        <v>5536</v>
      </c>
      <c r="K335" s="3" t="s">
        <v>2635</v>
      </c>
      <c r="L335" s="8" t="str">
        <f>HYPERLINK("http://slimages.macys.com/is/image/MCY/15668355 ")</f>
        <v xml:space="preserve">http://slimages.macys.com/is/image/MCY/15668355 </v>
      </c>
    </row>
    <row r="336" spans="1:12" ht="24.75" x14ac:dyDescent="0.25">
      <c r="A336" s="6" t="s">
        <v>3392</v>
      </c>
      <c r="B336" s="3" t="s">
        <v>3393</v>
      </c>
      <c r="C336" s="4">
        <v>2</v>
      </c>
      <c r="D336" s="5">
        <v>10</v>
      </c>
      <c r="E336" s="4" t="s">
        <v>3394</v>
      </c>
      <c r="F336" s="3" t="s">
        <v>7010</v>
      </c>
      <c r="G336" s="7" t="s">
        <v>5898</v>
      </c>
      <c r="H336" s="3" t="s">
        <v>6632</v>
      </c>
      <c r="I336" s="3" t="s">
        <v>6969</v>
      </c>
      <c r="J336" s="3" t="s">
        <v>5536</v>
      </c>
      <c r="K336" s="3" t="s">
        <v>6970</v>
      </c>
      <c r="L336" s="8" t="str">
        <f>HYPERLINK("http://slimages.macys.com/is/image/MCY/15668450 ")</f>
        <v xml:space="preserve">http://slimages.macys.com/is/image/MCY/15668450 </v>
      </c>
    </row>
    <row r="337" spans="1:12" ht="24.75" x14ac:dyDescent="0.25">
      <c r="A337" s="6" t="s">
        <v>2639</v>
      </c>
      <c r="B337" s="3" t="s">
        <v>2633</v>
      </c>
      <c r="C337" s="4">
        <v>3</v>
      </c>
      <c r="D337" s="5">
        <v>15</v>
      </c>
      <c r="E337" s="4" t="s">
        <v>2634</v>
      </c>
      <c r="F337" s="3" t="s">
        <v>5661</v>
      </c>
      <c r="G337" s="7" t="s">
        <v>5898</v>
      </c>
      <c r="H337" s="3" t="s">
        <v>6632</v>
      </c>
      <c r="I337" s="3" t="s">
        <v>6969</v>
      </c>
      <c r="J337" s="3" t="s">
        <v>5536</v>
      </c>
      <c r="K337" s="3" t="s">
        <v>2635</v>
      </c>
      <c r="L337" s="8" t="str">
        <f>HYPERLINK("http://slimages.macys.com/is/image/MCY/15668355 ")</f>
        <v xml:space="preserve">http://slimages.macys.com/is/image/MCY/15668355 </v>
      </c>
    </row>
    <row r="338" spans="1:12" ht="24.75" x14ac:dyDescent="0.25">
      <c r="A338" s="6" t="s">
        <v>2636</v>
      </c>
      <c r="B338" s="3" t="s">
        <v>2637</v>
      </c>
      <c r="C338" s="4">
        <v>2</v>
      </c>
      <c r="D338" s="5">
        <v>10</v>
      </c>
      <c r="E338" s="4" t="s">
        <v>2638</v>
      </c>
      <c r="F338" s="3" t="s">
        <v>5532</v>
      </c>
      <c r="G338" s="7" t="s">
        <v>5898</v>
      </c>
      <c r="H338" s="3" t="s">
        <v>6632</v>
      </c>
      <c r="I338" s="3" t="s">
        <v>6969</v>
      </c>
      <c r="J338" s="3" t="s">
        <v>5536</v>
      </c>
      <c r="K338" s="3" t="s">
        <v>6970</v>
      </c>
      <c r="L338" s="8" t="str">
        <f>HYPERLINK("http://slimages.macys.com/is/image/MCY/15501726 ")</f>
        <v xml:space="preserve">http://slimages.macys.com/is/image/MCY/15501726 </v>
      </c>
    </row>
    <row r="339" spans="1:12" ht="24.75" x14ac:dyDescent="0.25">
      <c r="A339" s="6" t="s">
        <v>1145</v>
      </c>
      <c r="B339" s="3" t="s">
        <v>1146</v>
      </c>
      <c r="C339" s="4">
        <v>2</v>
      </c>
      <c r="D339" s="5">
        <v>10</v>
      </c>
      <c r="E339" s="4" t="s">
        <v>1147</v>
      </c>
      <c r="F339" s="3" t="s">
        <v>5604</v>
      </c>
      <c r="G339" s="7" t="s">
        <v>5898</v>
      </c>
      <c r="H339" s="3" t="s">
        <v>6632</v>
      </c>
      <c r="I339" s="3" t="s">
        <v>6969</v>
      </c>
      <c r="J339" s="3" t="s">
        <v>5536</v>
      </c>
      <c r="K339" s="3" t="s">
        <v>6970</v>
      </c>
      <c r="L339" s="8" t="str">
        <f>HYPERLINK("http://slimages.macys.com/is/image/MCY/13740489 ")</f>
        <v xml:space="preserve">http://slimages.macys.com/is/image/MCY/13740489 </v>
      </c>
    </row>
    <row r="340" spans="1:12" ht="24.75" x14ac:dyDescent="0.25">
      <c r="A340" s="6" t="s">
        <v>599</v>
      </c>
      <c r="B340" s="3" t="s">
        <v>2648</v>
      </c>
      <c r="C340" s="4">
        <v>1</v>
      </c>
      <c r="D340" s="5">
        <v>5</v>
      </c>
      <c r="E340" s="4">
        <v>100012390</v>
      </c>
      <c r="F340" s="3" t="s">
        <v>6703</v>
      </c>
      <c r="G340" s="7" t="s">
        <v>5898</v>
      </c>
      <c r="H340" s="3" t="s">
        <v>6632</v>
      </c>
      <c r="I340" s="3" t="s">
        <v>6969</v>
      </c>
      <c r="J340" s="3" t="s">
        <v>5536</v>
      </c>
      <c r="K340" s="3" t="s">
        <v>6970</v>
      </c>
      <c r="L340" s="8" t="str">
        <f>HYPERLINK("http://slimages.macys.com/is/image/MCY/9262418 ")</f>
        <v xml:space="preserve">http://slimages.macys.com/is/image/MCY/9262418 </v>
      </c>
    </row>
    <row r="341" spans="1:12" ht="24.75" x14ac:dyDescent="0.25">
      <c r="A341" s="6" t="s">
        <v>1148</v>
      </c>
      <c r="B341" s="3" t="s">
        <v>1149</v>
      </c>
      <c r="C341" s="4">
        <v>1</v>
      </c>
      <c r="D341" s="5">
        <v>250</v>
      </c>
      <c r="E341" s="4">
        <v>6212304</v>
      </c>
      <c r="F341" s="3" t="s">
        <v>5783</v>
      </c>
      <c r="G341" s="7" t="s">
        <v>7103</v>
      </c>
      <c r="H341" s="3" t="s">
        <v>2722</v>
      </c>
      <c r="I341" s="3" t="s">
        <v>1150</v>
      </c>
      <c r="J341" s="3"/>
      <c r="K341" s="3"/>
      <c r="L341" s="8"/>
    </row>
    <row r="342" spans="1:12" ht="24.75" x14ac:dyDescent="0.25">
      <c r="A342" s="6" t="s">
        <v>1151</v>
      </c>
      <c r="B342" s="3" t="s">
        <v>1152</v>
      </c>
      <c r="C342" s="4">
        <v>1</v>
      </c>
      <c r="D342" s="5">
        <v>109</v>
      </c>
      <c r="E342" s="4" t="s">
        <v>1153</v>
      </c>
      <c r="F342" s="3" t="s">
        <v>5793</v>
      </c>
      <c r="G342" s="7" t="s">
        <v>5650</v>
      </c>
      <c r="H342" s="3" t="s">
        <v>7157</v>
      </c>
      <c r="I342" s="3" t="s">
        <v>7158</v>
      </c>
      <c r="J342" s="3"/>
      <c r="K342" s="3"/>
      <c r="L342" s="8"/>
    </row>
    <row r="343" spans="1:12" ht="24.75" x14ac:dyDescent="0.25">
      <c r="A343" s="6" t="s">
        <v>1154</v>
      </c>
      <c r="B343" s="3" t="s">
        <v>1155</v>
      </c>
      <c r="C343" s="4">
        <v>1</v>
      </c>
      <c r="D343" s="5">
        <v>55</v>
      </c>
      <c r="E343" s="4" t="s">
        <v>1156</v>
      </c>
      <c r="F343" s="3" t="s">
        <v>5604</v>
      </c>
      <c r="G343" s="7" t="s">
        <v>5562</v>
      </c>
      <c r="H343" s="3" t="s">
        <v>2687</v>
      </c>
      <c r="I343" s="3" t="s">
        <v>2688</v>
      </c>
      <c r="J343" s="3"/>
      <c r="K343" s="3"/>
      <c r="L343" s="8"/>
    </row>
    <row r="344" spans="1:12" ht="24.75" x14ac:dyDescent="0.25">
      <c r="A344" s="6" t="s">
        <v>1157</v>
      </c>
      <c r="B344" s="3" t="s">
        <v>1158</v>
      </c>
      <c r="C344" s="4">
        <v>2</v>
      </c>
      <c r="D344" s="5">
        <v>70</v>
      </c>
      <c r="E344" s="4">
        <v>5042059900200</v>
      </c>
      <c r="F344" s="3" t="s">
        <v>5540</v>
      </c>
      <c r="G344" s="7" t="s">
        <v>5596</v>
      </c>
      <c r="H344" s="3" t="s">
        <v>5794</v>
      </c>
      <c r="I344" s="3" t="s">
        <v>3712</v>
      </c>
      <c r="J344" s="3"/>
      <c r="K344" s="3"/>
      <c r="L344" s="8"/>
    </row>
    <row r="345" spans="1:12" ht="24.75" x14ac:dyDescent="0.25">
      <c r="A345" s="6" t="s">
        <v>1159</v>
      </c>
      <c r="B345" s="3" t="s">
        <v>1160</v>
      </c>
      <c r="C345" s="4">
        <v>1</v>
      </c>
      <c r="D345" s="5">
        <v>35</v>
      </c>
      <c r="E345" s="4">
        <v>5040418441500</v>
      </c>
      <c r="F345" s="3" t="s">
        <v>5532</v>
      </c>
      <c r="G345" s="7" t="s">
        <v>5596</v>
      </c>
      <c r="H345" s="3" t="s">
        <v>5794</v>
      </c>
      <c r="I345" s="3" t="s">
        <v>3712</v>
      </c>
      <c r="J345" s="3"/>
      <c r="K345" s="3"/>
      <c r="L345" s="8"/>
    </row>
    <row r="346" spans="1:12" ht="24.75" x14ac:dyDescent="0.25">
      <c r="A346" s="6" t="s">
        <v>1161</v>
      </c>
      <c r="B346" s="3" t="s">
        <v>1162</v>
      </c>
      <c r="C346" s="4">
        <v>1</v>
      </c>
      <c r="D346" s="5">
        <v>19.989999999999998</v>
      </c>
      <c r="E346" s="4" t="s">
        <v>1163</v>
      </c>
      <c r="F346" s="3" t="s">
        <v>5783</v>
      </c>
      <c r="G346" s="7" t="s">
        <v>6252</v>
      </c>
      <c r="H346" s="3" t="s">
        <v>6280</v>
      </c>
      <c r="I346" s="3" t="s">
        <v>2653</v>
      </c>
      <c r="J346" s="3"/>
      <c r="K346" s="3"/>
      <c r="L346" s="8"/>
    </row>
    <row r="347" spans="1:12" ht="24.75" x14ac:dyDescent="0.25">
      <c r="A347" s="6" t="s">
        <v>2650</v>
      </c>
      <c r="B347" s="3" t="s">
        <v>2651</v>
      </c>
      <c r="C347" s="4">
        <v>3</v>
      </c>
      <c r="D347" s="5">
        <v>59.97</v>
      </c>
      <c r="E347" s="4" t="s">
        <v>2652</v>
      </c>
      <c r="F347" s="3" t="s">
        <v>6335</v>
      </c>
      <c r="G347" s="7" t="s">
        <v>6252</v>
      </c>
      <c r="H347" s="3" t="s">
        <v>6280</v>
      </c>
      <c r="I347" s="3" t="s">
        <v>2653</v>
      </c>
      <c r="J347" s="3"/>
      <c r="K347" s="3"/>
      <c r="L347" s="8"/>
    </row>
    <row r="348" spans="1:12" ht="24.75" x14ac:dyDescent="0.25">
      <c r="A348" s="6" t="s">
        <v>1164</v>
      </c>
      <c r="B348" s="3" t="s">
        <v>1165</v>
      </c>
      <c r="C348" s="4">
        <v>1</v>
      </c>
      <c r="D348" s="5">
        <v>19.989999999999998</v>
      </c>
      <c r="E348" s="4" t="s">
        <v>1166</v>
      </c>
      <c r="F348" s="3" t="s">
        <v>5745</v>
      </c>
      <c r="G348" s="7" t="s">
        <v>6252</v>
      </c>
      <c r="H348" s="3" t="s">
        <v>6280</v>
      </c>
      <c r="I348" s="3" t="s">
        <v>2653</v>
      </c>
      <c r="J348" s="3"/>
      <c r="K348" s="3"/>
      <c r="L348" s="8"/>
    </row>
    <row r="349" spans="1:12" ht="36.75" x14ac:dyDescent="0.25">
      <c r="A349" s="6" t="s">
        <v>1167</v>
      </c>
      <c r="B349" s="3" t="s">
        <v>1139</v>
      </c>
      <c r="C349" s="4">
        <v>1</v>
      </c>
      <c r="D349" s="5">
        <v>7.98</v>
      </c>
      <c r="E349" s="4" t="s">
        <v>1140</v>
      </c>
      <c r="F349" s="3" t="s">
        <v>5532</v>
      </c>
      <c r="G349" s="7" t="s">
        <v>5596</v>
      </c>
      <c r="H349" s="3" t="s">
        <v>6430</v>
      </c>
      <c r="I349" s="3" t="s">
        <v>6431</v>
      </c>
      <c r="J349" s="3"/>
      <c r="K349" s="3"/>
      <c r="L349" s="8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BOLDetails1.xls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2020-10-08T15:21:54Z</dcterms:created>
  <dcterms:modified xsi:type="dcterms:W3CDTF">2020-11-05T10:04:37Z</dcterms:modified>
</cp:coreProperties>
</file>